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5" tabRatio="831" activeTab="1"/>
  </bookViews>
  <sheets>
    <sheet name="填表說明" sheetId="1" r:id="rId1"/>
    <sheet name="00-基本資料表" sheetId="2" r:id="rId2"/>
    <sheet name="01-醫師人力 " sheetId="3" r:id="rId3"/>
    <sheet name="02-護理人力" sheetId="4" r:id="rId4"/>
    <sheet name="03-藥事人力" sheetId="5" r:id="rId5"/>
    <sheet name="04-營養與膳食單位人力" sheetId="6" r:id="rId6"/>
    <sheet name="05-職能治療人力" sheetId="7" r:id="rId7"/>
    <sheet name="06-臨床心理人力" sheetId="8" r:id="rId8"/>
    <sheet name="07-社會工作人力" sheetId="9" r:id="rId9"/>
    <sheet name="08-職心社總" sheetId="10" r:id="rId10"/>
    <sheet name="設置標準" sheetId="11" r:id="rId11"/>
  </sheets>
  <definedNames>
    <definedName name="_xlnm.Print_Area" localSheetId="1">'00-基本資料表'!$A$1:$J$43</definedName>
    <definedName name="_xlnm.Print_Area" localSheetId="2">'01-醫師人力 '!$A$1:$I$11</definedName>
    <definedName name="_xlnm.Print_Area" localSheetId="3">'02-護理人力'!$A$1:$I$10</definedName>
    <definedName name="_xlnm.Print_Area" localSheetId="4">'03-藥事人力'!$A$1:$I$12</definedName>
    <definedName name="_xlnm.Print_Area" localSheetId="5">'04-營養與膳食單位人力'!$A$1:$I$6</definedName>
    <definedName name="_xlnm.Print_Area" localSheetId="6">'05-職能治療人力'!$A$1:$I$8</definedName>
    <definedName name="_xlnm.Print_Area" localSheetId="7">'06-臨床心理人力'!$A$1:$I$8</definedName>
    <definedName name="_xlnm.Print_Area" localSheetId="8">'07-社會工作人力'!$A$1:$I$8</definedName>
    <definedName name="_xlnm.Print_Area" localSheetId="9">'08-職心社總'!$A$1:$I$12</definedName>
    <definedName name="_xlnm.Print_Area" localSheetId="10">'設置標準'!$A$1:$I$26</definedName>
    <definedName name="_xlnm.Print_Area" localSheetId="0">'填表說明'!$A$1:$B$11</definedName>
    <definedName name="_xlnm.Print_Titles" localSheetId="1">'00-基本資料表'!$A:$B,'00-基本資料表'!$1:$1</definedName>
    <definedName name="_xlnm.Print_Titles" localSheetId="2">'01-醫師人力 '!$A:$A,'01-醫師人力 '!$2:$2</definedName>
    <definedName name="_xlnm.Print_Titles" localSheetId="3">'02-護理人力'!$A:$A,'02-護理人力'!$2:$2</definedName>
    <definedName name="_xlnm.Print_Titles" localSheetId="4">'03-藥事人力'!$A:$A,'03-藥事人力'!$2:$2</definedName>
    <definedName name="_xlnm.Print_Titles" localSheetId="5">'04-營養與膳食單位人力'!$A:$A,'04-營養與膳食單位人力'!$2:$2</definedName>
    <definedName name="_xlnm.Print_Titles" localSheetId="6">'05-職能治療人力'!$A:$A,'05-職能治療人力'!$2:$2</definedName>
    <definedName name="_xlnm.Print_Titles" localSheetId="7">'06-臨床心理人力'!$A:$A,'06-臨床心理人力'!$2:$2</definedName>
    <definedName name="_xlnm.Print_Titles" localSheetId="8">'07-社會工作人力'!$A:$A,'07-社會工作人力'!$2:$2</definedName>
    <definedName name="_xlnm.Print_Titles" localSheetId="9">'08-職心社總'!$A:$A,'08-職心社總'!$2:$2</definedName>
    <definedName name="_xlnm.Print_Titles" localSheetId="10">'設置標準'!$A:$A,'設置標準'!$2:$2</definedName>
    <definedName name="YN" localSheetId="6">'05-職能治療人力'!$K$1:$K$2</definedName>
    <definedName name="YN" localSheetId="8">'07-社會工作人力'!$K$1:$K$2</definedName>
    <definedName name="YN" localSheetId="9">'08-職心社總'!$K$1:$K$2</definedName>
    <definedName name="YN">'06-臨床心理人力'!$K$1:$K$2</definedName>
  </definedNames>
  <calcPr fullCalcOnLoad="1"/>
</workbook>
</file>

<file path=xl/sharedStrings.xml><?xml version="1.0" encoding="utf-8"?>
<sst xmlns="http://schemas.openxmlformats.org/spreadsheetml/2006/main" count="504" uniqueCount="330">
  <si>
    <t>特殊病床</t>
  </si>
  <si>
    <t>當月每日各班實際開台數加總</t>
  </si>
  <si>
    <t>門診</t>
  </si>
  <si>
    <t>當月血液透析總人次</t>
  </si>
  <si>
    <t>當月血液透析實際工作日</t>
  </si>
  <si>
    <t>人力計算基本資料</t>
  </si>
  <si>
    <t>慢性呼吸照護病床</t>
  </si>
  <si>
    <t>總病床</t>
  </si>
  <si>
    <t>診療室</t>
  </si>
  <si>
    <t>急診觀察室</t>
  </si>
  <si>
    <t>當月每日各班實際手術恢復床數加總</t>
  </si>
  <si>
    <t>當月手術恢復室實際工作日</t>
  </si>
  <si>
    <t>性侵害犯罪加害人強制治療病床</t>
  </si>
  <si>
    <t>佔床率(%)</t>
  </si>
  <si>
    <t>手術台數</t>
  </si>
  <si>
    <t>合計(床數×佔床率)</t>
  </si>
  <si>
    <t>一、醫師人力</t>
  </si>
  <si>
    <t>符合項目</t>
  </si>
  <si>
    <t>依照醫療機構設置標準規定事先報准之時數，每週達44小時以上之折算醫師人數(b)</t>
  </si>
  <si>
    <t>執登人數(a)</t>
  </si>
  <si>
    <t>合計人數(a+b)</t>
  </si>
  <si>
    <t>床數</t>
  </si>
  <si>
    <t>月份</t>
  </si>
  <si>
    <t>符合項目</t>
  </si>
  <si>
    <t>執登人數</t>
  </si>
  <si>
    <t>1.醫師人力</t>
  </si>
  <si>
    <t>月份</t>
  </si>
  <si>
    <t>醫療機構設置標準(不考量佔床率)</t>
  </si>
  <si>
    <t>合計</t>
  </si>
  <si>
    <t>是</t>
  </si>
  <si>
    <t>否</t>
  </si>
  <si>
    <t>精神急性一般病床
(採單一劑量)</t>
  </si>
  <si>
    <t>填表說明：</t>
  </si>
  <si>
    <r>
      <t>病床數及其他醫療相關設備數：</t>
    </r>
    <r>
      <rPr>
        <b/>
        <sz val="14"/>
        <color indexed="8"/>
        <rFont val="微軟正黑體"/>
        <family val="2"/>
      </rPr>
      <t>各月第1日</t>
    </r>
    <r>
      <rPr>
        <sz val="14"/>
        <color indexed="8"/>
        <rFont val="微軟正黑體"/>
        <family val="2"/>
      </rPr>
      <t>之實際於衛生局登記「開放數」。</t>
    </r>
  </si>
  <si>
    <r>
      <t>「執登人員數」：</t>
    </r>
    <r>
      <rPr>
        <b/>
        <sz val="14"/>
        <color indexed="8"/>
        <rFont val="微軟正黑體"/>
        <family val="2"/>
      </rPr>
      <t>各月第1日</t>
    </r>
    <r>
      <rPr>
        <sz val="14"/>
        <color indexed="8"/>
        <rFont val="微軟正黑體"/>
        <family val="2"/>
      </rPr>
      <t>之實際執業登記於醫院之人力數。</t>
    </r>
  </si>
  <si>
    <t>佔床率(%)</t>
  </si>
  <si>
    <t>合計(床數×佔床率)</t>
  </si>
  <si>
    <t>執登人數</t>
  </si>
  <si>
    <t>執登人數</t>
  </si>
  <si>
    <t>計算公式</t>
  </si>
  <si>
    <t>A1</t>
  </si>
  <si>
    <t>=</t>
  </si>
  <si>
    <t>A2</t>
  </si>
  <si>
    <t>A3</t>
  </si>
  <si>
    <t>四捨五入取到小數點第二位。只要填%前的數字(如：67.51%只要輸入67.51即可)</t>
  </si>
  <si>
    <t>A4</t>
  </si>
  <si>
    <t>A2*A3，無條件捨去至小數點第一位，再四捨五入至整數位</t>
  </si>
  <si>
    <t>A5</t>
  </si>
  <si>
    <t>A6</t>
  </si>
  <si>
    <t>A7</t>
  </si>
  <si>
    <t>A5*A6，無條件捨去至小數點第一位，再四捨五入至整數位</t>
  </si>
  <si>
    <t>A8</t>
  </si>
  <si>
    <t>A9</t>
  </si>
  <si>
    <t>A10</t>
  </si>
  <si>
    <t>A8*A9，無條件捨去至小數點第一位，再四捨五入至整數位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</si>
  <si>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</si>
  <si>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</si>
  <si>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</si>
  <si>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</si>
  <si>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</si>
  <si>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</si>
  <si>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</si>
  <si>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</si>
  <si>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</si>
  <si>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</si>
  <si>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</si>
  <si>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</si>
  <si>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</si>
  <si>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</si>
  <si>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</si>
  <si>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</si>
  <si>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</si>
  <si>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E2</t>
  </si>
  <si>
    <t>G4</t>
  </si>
  <si>
    <t>人力計算時：</t>
  </si>
  <si>
    <t>(1)病床數得考量年平均佔床率，且四捨五入取至整數位。</t>
  </si>
  <si>
    <t>(2)人力計算結果以整數計。</t>
  </si>
  <si>
    <t>(3)人力計算結果不得低於醫療機構設置標準之規定。</t>
  </si>
  <si>
    <t>床數</t>
  </si>
  <si>
    <t>佔床率(%)</t>
  </si>
  <si>
    <t>A2-A5</t>
  </si>
  <si>
    <t>四捨五入取到小數點第二位。只要填%前的數字(如：67.51%只要輸入67.51即可)</t>
  </si>
  <si>
    <t>精神急性一般病床
(非採單一劑量)</t>
  </si>
  <si>
    <t>A11-A14</t>
  </si>
  <si>
    <t>1</t>
  </si>
  <si>
    <t>2</t>
  </si>
  <si>
    <t>3</t>
  </si>
  <si>
    <t>4</t>
  </si>
  <si>
    <t>5</t>
  </si>
  <si>
    <t>6</t>
  </si>
  <si>
    <t>精神急性一般病床</t>
  </si>
  <si>
    <t>A11*A12，無條件捨去至小數點第一位，再四捨五入至整數位</t>
  </si>
  <si>
    <t>精神慢性一般病床</t>
  </si>
  <si>
    <t>精神慢性一般病床
(採單一劑量)</t>
  </si>
  <si>
    <t>精神慢性一般病床
(非採單一劑量)</t>
  </si>
  <si>
    <t>A14*A15，無條件捨去至小數點第一位，再四捨五入至整數位</t>
  </si>
  <si>
    <t>A17*A18，無條件捨去至小數點第一位，再四捨五入至整數位</t>
  </si>
  <si>
    <t>A2+A11+A20</t>
  </si>
  <si>
    <t>當月手術室實際工作日</t>
  </si>
  <si>
    <t>血液透析室</t>
  </si>
  <si>
    <t>手術室</t>
  </si>
  <si>
    <t>手術恢復室</t>
  </si>
  <si>
    <t>A28</t>
  </si>
  <si>
    <t>A29</t>
  </si>
  <si>
    <t>A30</t>
  </si>
  <si>
    <t>A31</t>
  </si>
  <si>
    <t>A32</t>
  </si>
  <si>
    <t>A33</t>
  </si>
  <si>
    <t>C5</t>
  </si>
  <si>
    <t>C7</t>
  </si>
  <si>
    <t>C8</t>
  </si>
  <si>
    <t>A2÷3.5</t>
  </si>
  <si>
    <t>精神急性一般病床
(每3.5床1人)</t>
  </si>
  <si>
    <t>精神加護病房(每2床1人)</t>
  </si>
  <si>
    <t>精神慢性一般病房
(每15床1人)</t>
  </si>
  <si>
    <t>B15</t>
  </si>
  <si>
    <t>精神科日間照護單位</t>
  </si>
  <si>
    <t>精神科日間照護單位(每20名1人)</t>
  </si>
  <si>
    <t>B1</t>
  </si>
  <si>
    <t>B6</t>
  </si>
  <si>
    <t>3.藥事人力</t>
  </si>
  <si>
    <t>B7</t>
  </si>
  <si>
    <t>精神慢性一般病床
(每200床1人)</t>
  </si>
  <si>
    <t>B8</t>
  </si>
  <si>
    <t>=</t>
  </si>
  <si>
    <t>A11÷200</t>
  </si>
  <si>
    <t>B9</t>
  </si>
  <si>
    <t>B10</t>
  </si>
  <si>
    <r>
      <t>精神急性一般病床+精神加護病房
(每50床1人</t>
    </r>
    <r>
      <rPr>
        <sz val="12"/>
        <color indexed="8"/>
        <rFont val="微軟正黑體"/>
        <family val="2"/>
      </rPr>
      <t>)</t>
    </r>
  </si>
  <si>
    <t>精神科日間照護單位
(每200床1人)</t>
  </si>
  <si>
    <t>4.營養與膳食單位人力</t>
  </si>
  <si>
    <t>B11</t>
  </si>
  <si>
    <t>B12</t>
  </si>
  <si>
    <t>5.職能治療人員</t>
  </si>
  <si>
    <t>精神急性、慢性一般病床及加護病床
(每100床1人)</t>
  </si>
  <si>
    <t>B13</t>
  </si>
  <si>
    <t>B14</t>
  </si>
  <si>
    <t>精神科日間照護單位
(每75床1人)</t>
  </si>
  <si>
    <t>6.臨床心理師</t>
  </si>
  <si>
    <t>精神急性、慢性一般病床及加護病床
(每150床1人)</t>
  </si>
  <si>
    <t>精神科日間照護單位
(每150床1人)</t>
  </si>
  <si>
    <t>B18</t>
  </si>
  <si>
    <t>B19</t>
  </si>
  <si>
    <t>B20</t>
  </si>
  <si>
    <t>A2÷20</t>
  </si>
  <si>
    <t>精神急性一般病床
(每20床1人)</t>
  </si>
  <si>
    <t>精神慢性一般病房
(每120床1人)</t>
  </si>
  <si>
    <t>A11÷120</t>
  </si>
  <si>
    <t>精神科日間照護單位(每150名1人)</t>
  </si>
  <si>
    <t>精神加護病房(每10床1人)</t>
  </si>
  <si>
    <t>B2</t>
  </si>
  <si>
    <t>B3</t>
  </si>
  <si>
    <t>B4</t>
  </si>
  <si>
    <t>B5</t>
  </si>
  <si>
    <t>B2+B3+B4+B5，先無條件捨去至小數點第一位，再四捨五入至整數位，(若B1&lt;2，以2計)</t>
  </si>
  <si>
    <t>B16</t>
  </si>
  <si>
    <t>B17</t>
  </si>
  <si>
    <t>B21</t>
  </si>
  <si>
    <t>B22</t>
  </si>
  <si>
    <t>B23</t>
  </si>
  <si>
    <t>B24</t>
  </si>
  <si>
    <t>B7+B8+B9+B10先無條件捨去至小數點第一位，再四捨五入至整數位，(若B6&lt;5，以5計)</t>
  </si>
  <si>
    <t>B12+B13+B14，先無條件捨去至小數點第一位，再四捨五入至整數位，(若B11&lt;1，以1計)</t>
  </si>
  <si>
    <t>B23+B24，先無條件捨去至小數點第一位，再四捨五入至整數位；
(若B23+B24四捨五入&lt;1，得以特約方式辦理)</t>
  </si>
  <si>
    <t>B20+B21，先無條件捨去至小數點第一位，再四捨五入至整數位；(若B19&lt;1，以1計)</t>
  </si>
  <si>
    <t>B17+B18，先無條件捨去至小數點第一位，再四捨五入至整數位；(若B16&lt;1，以1計)</t>
  </si>
  <si>
    <t>若A1&gt;=100，B15不得&lt;1</t>
  </si>
  <si>
    <t>A11÷15</t>
  </si>
  <si>
    <t>三、藥事人力</t>
  </si>
  <si>
    <t>四、營養與膳食單位人力</t>
  </si>
  <si>
    <t>精神急性一般病床(每3.5床1人)</t>
  </si>
  <si>
    <t>精神日間照護單位
(每20名服務量1人)</t>
  </si>
  <si>
    <t>D1</t>
  </si>
  <si>
    <t>D2</t>
  </si>
  <si>
    <t>D3</t>
  </si>
  <si>
    <t>D4</t>
  </si>
  <si>
    <t>D5</t>
  </si>
  <si>
    <t>D6</t>
  </si>
  <si>
    <t>C2</t>
  </si>
  <si>
    <t>C3</t>
  </si>
  <si>
    <t>C4</t>
  </si>
  <si>
    <t>C9</t>
  </si>
  <si>
    <t>C1</t>
  </si>
  <si>
    <t>D8</t>
  </si>
  <si>
    <t>SUM(C1:C4)，先無條件捨去至小數點第一位，再四捨五入至整數位 (若C5&lt;2，以2計)</t>
  </si>
  <si>
    <t>C7+C8</t>
  </si>
  <si>
    <t>精神急性一般病床-非採單一劑量
(每50床1人)</t>
  </si>
  <si>
    <t>精神急性一般病床-採單一劑量
(每40床1人)</t>
  </si>
  <si>
    <t>E1</t>
  </si>
  <si>
    <t>門診、急診作業
(每滿100張處方增聘1人)</t>
  </si>
  <si>
    <t>E4</t>
  </si>
  <si>
    <t>E5</t>
  </si>
  <si>
    <t>E3</t>
  </si>
  <si>
    <t>E6</t>
  </si>
  <si>
    <t>E7</t>
  </si>
  <si>
    <t>每日平均門診加急診處方數</t>
  </si>
  <si>
    <t>E8</t>
  </si>
  <si>
    <t>E10</t>
  </si>
  <si>
    <t>病床數
(100床以上應有1人)</t>
  </si>
  <si>
    <t>H2</t>
  </si>
  <si>
    <t>H3</t>
  </si>
  <si>
    <t>F1</t>
  </si>
  <si>
    <t>F2</t>
  </si>
  <si>
    <t>F4</t>
  </si>
  <si>
    <t>精神科日間照護
(每70床/服務量1人)</t>
  </si>
  <si>
    <t>G1</t>
  </si>
  <si>
    <t>G2</t>
  </si>
  <si>
    <t>G3</t>
  </si>
  <si>
    <t>G6</t>
  </si>
  <si>
    <t>精神科日間照護
(每115床/服務量1人)</t>
  </si>
  <si>
    <t>五、職能治療人力</t>
  </si>
  <si>
    <t>H1</t>
  </si>
  <si>
    <t>H4</t>
  </si>
  <si>
    <t>H6</t>
  </si>
  <si>
    <t>六、臨床心理人力</t>
  </si>
  <si>
    <t>七、社會工作人力</t>
  </si>
  <si>
    <t>精神科日間照護
(每75床/服務量1人)</t>
  </si>
  <si>
    <t>I1</t>
  </si>
  <si>
    <t>I2</t>
  </si>
  <si>
    <t>I3</t>
  </si>
  <si>
    <t>I4</t>
  </si>
  <si>
    <t>I6</t>
  </si>
  <si>
    <t>A33÷2</t>
  </si>
  <si>
    <t>精神慢性一般病床(每15床1人)</t>
  </si>
  <si>
    <t>A33÷10</t>
  </si>
  <si>
    <t>(A2+A33)÷50</t>
  </si>
  <si>
    <t>(A2+A11+A33)÷100</t>
  </si>
  <si>
    <t>(A2+A11+A33)÷150</t>
  </si>
  <si>
    <r>
      <rPr>
        <b/>
        <sz val="14"/>
        <color indexed="10"/>
        <rFont val="微軟正黑體"/>
        <family val="2"/>
      </rPr>
      <t>「白底欄位」請由醫院填入資料</t>
    </r>
    <r>
      <rPr>
        <b/>
        <sz val="14"/>
        <color indexed="30"/>
        <rFont val="微軟正黑體"/>
        <family val="2"/>
      </rPr>
      <t>（若無資料，請填入0）</t>
    </r>
    <r>
      <rPr>
        <sz val="14"/>
        <color indexed="8"/>
        <rFont val="微軟正黑體"/>
        <family val="2"/>
      </rPr>
      <t>；</t>
    </r>
    <r>
      <rPr>
        <b/>
        <sz val="14"/>
        <color indexed="10"/>
        <rFont val="微軟正黑體"/>
        <family val="2"/>
      </rPr>
      <t>「灰底欄位」為自動運算欄位。</t>
    </r>
  </si>
  <si>
    <t>A34</t>
  </si>
  <si>
    <t>A35</t>
  </si>
  <si>
    <t>A36</t>
  </si>
  <si>
    <t>A37</t>
  </si>
  <si>
    <t>A38</t>
  </si>
  <si>
    <t>A39</t>
  </si>
  <si>
    <t>A40</t>
  </si>
  <si>
    <t>服務量（開放數）</t>
  </si>
  <si>
    <t>A36÷150</t>
  </si>
  <si>
    <t>A36÷200</t>
  </si>
  <si>
    <t>A36÷150</t>
  </si>
  <si>
    <t>A36÷20</t>
  </si>
  <si>
    <t>A36÷75</t>
  </si>
  <si>
    <t>每日平均（調劑）門診處方數(人次)</t>
  </si>
  <si>
    <t>每日平均（調劑）急診處方數(人次)</t>
  </si>
  <si>
    <r>
      <t>說明:人員臨時提出離職(2週)新人力於 3</t>
    </r>
    <r>
      <rPr>
        <sz val="12"/>
        <color indexed="8"/>
        <rFont val="微軟正黑體"/>
        <family val="2"/>
      </rPr>
      <t>/21到職，營養師執照4月放榜，5/2職登</t>
    </r>
  </si>
  <si>
    <t>106年
6月</t>
  </si>
  <si>
    <t>106年
7月</t>
  </si>
  <si>
    <t>106年
8月</t>
  </si>
  <si>
    <t>106年
9月</t>
  </si>
  <si>
    <t>106年
10月</t>
  </si>
  <si>
    <t>2.護理人力</t>
  </si>
  <si>
    <t>7.臨床社會工作人員</t>
  </si>
  <si>
    <t>二、護理人力</t>
  </si>
  <si>
    <t>備註說明：本項對應精神科醫院評鑑基準「1.2.7適當醫師人力配置」。</t>
  </si>
  <si>
    <t>備註說明：本項對應精神科醫院評鑑基準「1.2.10依據病房特性配置適當護理人力」。</t>
  </si>
  <si>
    <t>備註說明：本項對應精神科醫院評鑑基準「1.2.11適當藥事人力配置」。</t>
  </si>
  <si>
    <t>備註說明：本項對應精神科醫院評鑑基準「1.2.12 適當營養人力配置」。</t>
  </si>
  <si>
    <t>備註說明：本項對應精神科醫院評鑑基準「1.2.13 適當之職能治療服務組織與人力配置」。</t>
  </si>
  <si>
    <t>備註說明：本項對應精神科醫院評鑑基準「1.2.14 適當之臨床心理人力配置」。</t>
  </si>
  <si>
    <t>備註說明：本項對應精神科醫院評鑑基準「1.2.15 應有適當社工人力以確保精神醫療社工服務品質」。</t>
  </si>
  <si>
    <t>欄位代碼</t>
  </si>
  <si>
    <t>欄位代碼</t>
  </si>
  <si>
    <t>欄位代碼</t>
  </si>
  <si>
    <t>A2÷20</t>
  </si>
  <si>
    <t>A11÷120</t>
  </si>
  <si>
    <t>A33÷10</t>
  </si>
  <si>
    <t>A36÷150</t>
  </si>
  <si>
    <t>A2÷3.5</t>
  </si>
  <si>
    <t>A11÷15</t>
  </si>
  <si>
    <t>A33÷2</t>
  </si>
  <si>
    <t>A36÷20</t>
  </si>
  <si>
    <t>SUM(D1:D4)，先無條件捨去至小數點第一位，再四捨五入至整數位</t>
  </si>
  <si>
    <t>若D6&lt;B6，以B6計；反之，以D6計</t>
  </si>
  <si>
    <t>A8÷50</t>
  </si>
  <si>
    <t>A5÷40</t>
  </si>
  <si>
    <t>A11÷200</t>
  </si>
  <si>
    <t>A33÷50</t>
  </si>
  <si>
    <t>A36÷200</t>
  </si>
  <si>
    <t>若(A38+A39)&gt;100，以「(A38+A39)÷100」計，無條件捨去至整數位</t>
  </si>
  <si>
    <t>SUM(E1:E6)，先無條件捨去至小數點第一位，再四捨五入至整數位</t>
  </si>
  <si>
    <t>若E8&lt;B11，以B11計；反之，以E8計</t>
  </si>
  <si>
    <t>A1&gt;100，B3需大於1</t>
  </si>
  <si>
    <t>若F2&lt;B33，以B33計；反之，以F2計</t>
  </si>
  <si>
    <t>有提供職能治療服務者，(A4+A13+A35)÷70</t>
  </si>
  <si>
    <t>A36÷70</t>
  </si>
  <si>
    <t>G1+G2，先無條件捨去至小數點第一位，再四捨五入至整數位</t>
  </si>
  <si>
    <t>若G4&lt;B16，以B16計；反之，以G4計</t>
  </si>
  <si>
    <t>(A4+A13+A35)÷90</t>
  </si>
  <si>
    <t>A36÷115</t>
  </si>
  <si>
    <t>H1+H2，先無條件捨去至小數點第一位，再四捨五入至整數位</t>
  </si>
  <si>
    <t>若H4&lt;B19，以B19計；反之，以H4計</t>
  </si>
  <si>
    <t>A36÷75</t>
  </si>
  <si>
    <t>I1+I2，先無條件捨去至小數點第一位，再四捨五入至整數位</t>
  </si>
  <si>
    <t>若I4&lt;B22，以B22計；反之，以I4計</t>
  </si>
  <si>
    <t>精神急性一般病床、精神慢性一般病床、精神科加護病床
(每90床/服務量1人)</t>
  </si>
  <si>
    <t>精神急性一般病床、精神慢性一般病床、精神科加護病床
(每70床/服務量1人)</t>
  </si>
  <si>
    <t>精神加護病床(每50床1人)</t>
  </si>
  <si>
    <t>精神加護病床(每2床1人)</t>
  </si>
  <si>
    <t>精神加護病床(每10床1人)</t>
  </si>
  <si>
    <t>精神科加護病床</t>
  </si>
  <si>
    <t>精神急性一般病床 合計(床數×佔床率)</t>
  </si>
  <si>
    <t>精神慢性一般病床 合計(床數×佔床率)</t>
  </si>
  <si>
    <t>精神科加護病床 合計(床數×佔床率)</t>
  </si>
  <si>
    <t>備註說明：本項對應精神科醫院評鑑基準「1.2.16 適當之職能治療服務、臨床心理及社工人力配置」。</t>
  </si>
  <si>
    <t>職能治療執登人數</t>
  </si>
  <si>
    <t>臨床心理執登人數</t>
  </si>
  <si>
    <t>社會工作執登人數</t>
  </si>
  <si>
    <t>J1</t>
  </si>
  <si>
    <t>職能治療</t>
  </si>
  <si>
    <t>臨床心理</t>
  </si>
  <si>
    <t>社會工作</t>
  </si>
  <si>
    <t>J2</t>
  </si>
  <si>
    <t>J3</t>
  </si>
  <si>
    <t>J4</t>
  </si>
  <si>
    <t>J6</t>
  </si>
  <si>
    <t>J7</t>
  </si>
  <si>
    <t>J8</t>
  </si>
  <si>
    <t>J1+J2+J3，先無條件捨去至小數點第一位，再四捨五入至整數位</t>
  </si>
  <si>
    <t>職能治療、臨床心理及社工執登合計</t>
  </si>
  <si>
    <t>J9</t>
  </si>
  <si>
    <t>J9須大於等於J4</t>
  </si>
  <si>
    <t>是否符合1.2.16</t>
  </si>
  <si>
    <t>J10</t>
  </si>
  <si>
    <t>八、職能治療服務、臨床心理及社工人力</t>
  </si>
  <si>
    <t>精神科醫院病床分類如下：
(1)一般病床：包括精神急性一般病床、精神慢性一般病床。
(2)特殊病床：包括精神科加護病床、慢性呼吸照護病床、隔離病床、血液透析床、腹膜透析床、安寧病床、手術恢復床、急診觀察床、性侵害犯罪加害人強制治療病床。</t>
  </si>
  <si>
    <t>安寧病床</t>
  </si>
  <si>
    <t>A41</t>
  </si>
  <si>
    <t>A42</t>
  </si>
  <si>
    <r>
      <rPr>
        <b/>
        <sz val="14"/>
        <color indexed="8"/>
        <rFont val="微軟正黑體"/>
        <family val="2"/>
      </rPr>
      <t>資料統計期間：106年6月1日（或自開業日期當月）至</t>
    </r>
    <r>
      <rPr>
        <b/>
        <sz val="14"/>
        <color indexed="10"/>
        <rFont val="微軟正黑體"/>
        <family val="2"/>
      </rPr>
      <t>實地評鑑前</t>
    </r>
    <r>
      <rPr>
        <b/>
        <sz val="14"/>
        <color indexed="10"/>
        <rFont val="微軟正黑體"/>
        <family val="2"/>
      </rPr>
      <t>1</t>
    </r>
    <r>
      <rPr>
        <b/>
        <sz val="14"/>
        <color indexed="10"/>
        <rFont val="微軟正黑體"/>
        <family val="2"/>
      </rPr>
      <t>個月</t>
    </r>
    <r>
      <rPr>
        <sz val="14"/>
        <color indexed="8"/>
        <rFont val="微軟正黑體"/>
        <family val="2"/>
      </rPr>
      <t>。</t>
    </r>
  </si>
  <si>
    <r>
      <t xml:space="preserve">「佔床率」計算方式共有下列二種認計原則，由醫院擇一採計：
</t>
    </r>
    <r>
      <rPr>
        <sz val="14"/>
        <rFont val="微軟正黑體"/>
        <family val="2"/>
      </rPr>
      <t>(1) 近四年之年平均佔床率。
(2) 自106年6月1日起至實地評鑑前1個月，或自開業日期起至實地評鑑前1個月之月平均佔床率。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</si>
</sst>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4"/>
      <color indexed="8"/>
      <name val="微軟正黑體"/>
      <family val="2"/>
    </font>
    <font>
      <b/>
      <sz val="14"/>
      <color indexed="8"/>
      <name val="微軟正黑體"/>
      <family val="2"/>
    </font>
    <font>
      <b/>
      <sz val="14"/>
      <color indexed="30"/>
      <name val="微軟正黑體"/>
      <family val="2"/>
    </font>
    <font>
      <b/>
      <sz val="14"/>
      <name val="微軟正黑體"/>
      <family val="2"/>
    </font>
    <font>
      <sz val="14"/>
      <name val="微軟正黑體"/>
      <family val="2"/>
    </font>
    <font>
      <b/>
      <sz val="12"/>
      <color indexed="8"/>
      <name val="微軟正黑體"/>
      <family val="2"/>
    </font>
    <font>
      <b/>
      <sz val="16"/>
      <color indexed="12"/>
      <name val="微軟正黑體"/>
      <family val="2"/>
    </font>
    <font>
      <b/>
      <sz val="12"/>
      <color indexed="10"/>
      <name val="微軟正黑體"/>
      <family val="2"/>
    </font>
    <font>
      <b/>
      <sz val="18"/>
      <color indexed="12"/>
      <name val="微軟正黑體"/>
      <family val="2"/>
    </font>
    <font>
      <sz val="11"/>
      <color indexed="8"/>
      <name val="微軟正黑體"/>
      <family val="2"/>
    </font>
    <font>
      <sz val="12"/>
      <color indexed="9"/>
      <name val="微軟正黑體"/>
      <family val="2"/>
    </font>
    <font>
      <sz val="12"/>
      <color indexed="10"/>
      <name val="微軟正黑體"/>
      <family val="2"/>
    </font>
    <font>
      <b/>
      <sz val="14"/>
      <color indexed="1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微軟正黑體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22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right" vertical="center"/>
    </xf>
    <xf numFmtId="176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176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3" fillId="33" borderId="12" xfId="0" applyNumberFormat="1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right" vertical="center"/>
    </xf>
    <xf numFmtId="176" fontId="4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12" xfId="0" applyFont="1" applyBorder="1" applyAlignment="1" applyProtection="1">
      <alignment horizontal="right" vertical="center"/>
      <protection locked="0"/>
    </xf>
    <xf numFmtId="10" fontId="3" fillId="0" borderId="12" xfId="0" applyNumberFormat="1" applyFont="1" applyBorder="1" applyAlignment="1" applyProtection="1">
      <alignment horizontal="right" vertical="center"/>
      <protection locked="0"/>
    </xf>
    <xf numFmtId="0" fontId="3" fillId="33" borderId="12" xfId="0" applyFont="1" applyFill="1" applyBorder="1" applyAlignment="1">
      <alignment horizontal="right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3" fillId="0" borderId="12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5" fillId="0" borderId="0" xfId="0" applyFont="1" applyAlignment="1">
      <alignment vertical="center" wrapText="1"/>
    </xf>
    <xf numFmtId="0" fontId="3" fillId="34" borderId="12" xfId="0" applyFont="1" applyFill="1" applyBorder="1" applyAlignment="1">
      <alignment horizontal="right" vertical="center"/>
    </xf>
    <xf numFmtId="0" fontId="10" fillId="34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33" borderId="2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33" borderId="12" xfId="0" applyFont="1" applyFill="1" applyBorder="1" applyAlignment="1">
      <alignment horizontal="right"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12" xfId="0" applyFont="1" applyFill="1" applyBorder="1" applyAlignment="1" quotePrefix="1">
      <alignment horizontal="center" vertical="center"/>
    </xf>
    <xf numFmtId="0" fontId="3" fillId="34" borderId="12" xfId="0" applyFont="1" applyFill="1" applyBorder="1" applyAlignment="1" applyProtection="1">
      <alignment horizontal="right" vertical="center"/>
      <protection locked="0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vertical="center" wrapText="1"/>
    </xf>
    <xf numFmtId="10" fontId="3" fillId="0" borderId="12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6" fontId="3" fillId="0" borderId="16" xfId="0" applyNumberFormat="1" applyFont="1" applyFill="1" applyBorder="1" applyAlignment="1" applyProtection="1">
      <alignment horizontal="center" vertical="center"/>
      <protection locked="0"/>
    </xf>
    <xf numFmtId="176" fontId="3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5" borderId="12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vertical="center"/>
    </xf>
    <xf numFmtId="0" fontId="12" fillId="7" borderId="14" xfId="0" applyFont="1" applyFill="1" applyBorder="1" applyAlignment="1">
      <alignment vertical="center"/>
    </xf>
    <xf numFmtId="0" fontId="12" fillId="7" borderId="34" xfId="0" applyFont="1" applyFill="1" applyBorder="1" applyAlignment="1">
      <alignment vertical="center"/>
    </xf>
    <xf numFmtId="0" fontId="3" fillId="35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176" fontId="3" fillId="33" borderId="19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176" fontId="3" fillId="33" borderId="17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>
      <alignment horizontal="right" vertical="center"/>
    </xf>
    <xf numFmtId="0" fontId="3" fillId="0" borderId="16" xfId="0" applyFont="1" applyBorder="1" applyAlignment="1" applyProtection="1">
      <alignment horizontal="right" vertical="center"/>
      <protection locked="0"/>
    </xf>
    <xf numFmtId="10" fontId="3" fillId="0" borderId="16" xfId="0" applyNumberFormat="1" applyFont="1" applyBorder="1" applyAlignment="1" applyProtection="1">
      <alignment horizontal="right" vertical="center"/>
      <protection locked="0"/>
    </xf>
    <xf numFmtId="0" fontId="3" fillId="33" borderId="16" xfId="0" applyFont="1" applyFill="1" applyBorder="1" applyAlignment="1">
      <alignment horizontal="right" vertical="center"/>
    </xf>
    <xf numFmtId="10" fontId="3" fillId="0" borderId="16" xfId="0" applyNumberFormat="1" applyFont="1" applyBorder="1" applyAlignment="1" applyProtection="1">
      <alignment horizontal="right" vertical="center"/>
      <protection locked="0"/>
    </xf>
    <xf numFmtId="0" fontId="3" fillId="34" borderId="16" xfId="0" applyFont="1" applyFill="1" applyBorder="1" applyAlignment="1" applyProtection="1">
      <alignment horizontal="right" vertical="center"/>
      <protection locked="0"/>
    </xf>
    <xf numFmtId="49" fontId="3" fillId="33" borderId="18" xfId="0" applyNumberFormat="1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center"/>
    </xf>
    <xf numFmtId="0" fontId="3" fillId="33" borderId="22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vertical="center"/>
    </xf>
    <xf numFmtId="0" fontId="3" fillId="33" borderId="22" xfId="0" applyFont="1" applyFill="1" applyBorder="1" applyAlignment="1">
      <alignment vertical="center" wrapText="1"/>
    </xf>
    <xf numFmtId="176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 wrapText="1"/>
    </xf>
    <xf numFmtId="176" fontId="4" fillId="36" borderId="12" xfId="0" applyNumberFormat="1" applyFont="1" applyFill="1" applyBorder="1" applyAlignment="1" applyProtection="1">
      <alignment horizontal="center" vertical="center"/>
      <protection/>
    </xf>
    <xf numFmtId="176" fontId="4" fillId="36" borderId="16" xfId="0" applyNumberFormat="1" applyFont="1" applyFill="1" applyBorder="1" applyAlignment="1" applyProtection="1">
      <alignment horizontal="center" vertical="center"/>
      <protection/>
    </xf>
    <xf numFmtId="0" fontId="3" fillId="36" borderId="14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176" fontId="4" fillId="36" borderId="10" xfId="0" applyNumberFormat="1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right" vertical="center" wrapText="1"/>
    </xf>
    <xf numFmtId="0" fontId="3" fillId="36" borderId="12" xfId="0" applyFont="1" applyFill="1" applyBorder="1" applyAlignment="1" applyProtection="1">
      <alignment vertical="center" wrapText="1"/>
      <protection/>
    </xf>
    <xf numFmtId="0" fontId="3" fillId="36" borderId="12" xfId="0" applyFont="1" applyFill="1" applyBorder="1" applyAlignment="1" applyProtection="1">
      <alignment horizontal="left" vertical="center" wrapText="1"/>
      <protection/>
    </xf>
    <xf numFmtId="0" fontId="3" fillId="36" borderId="12" xfId="0" applyFont="1" applyFill="1" applyBorder="1" applyAlignment="1" applyProtection="1">
      <alignment horizontal="left" vertical="center" wrapText="1"/>
      <protection/>
    </xf>
    <xf numFmtId="0" fontId="4" fillId="36" borderId="12" xfId="0" applyFont="1" applyFill="1" applyBorder="1" applyAlignment="1" applyProtection="1">
      <alignment horizontal="left" vertical="center" wrapText="1"/>
      <protection/>
    </xf>
    <xf numFmtId="0" fontId="4" fillId="36" borderId="12" xfId="0" applyFont="1" applyFill="1" applyBorder="1" applyAlignment="1" applyProtection="1">
      <alignment vertical="center"/>
      <protection/>
    </xf>
    <xf numFmtId="0" fontId="14" fillId="36" borderId="12" xfId="0" applyFont="1" applyFill="1" applyBorder="1" applyAlignment="1" applyProtection="1">
      <alignment vertical="center" wrapText="1"/>
      <protection/>
    </xf>
    <xf numFmtId="0" fontId="3" fillId="36" borderId="12" xfId="0" applyFont="1" applyFill="1" applyBorder="1" applyAlignment="1" applyProtection="1">
      <alignment vertical="center"/>
      <protection/>
    </xf>
    <xf numFmtId="0" fontId="3" fillId="36" borderId="2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49" fontId="3" fillId="36" borderId="22" xfId="0" applyNumberFormat="1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left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8" xfId="0" applyFont="1" applyFill="1" applyBorder="1" applyAlignment="1">
      <alignment vertical="center"/>
    </xf>
    <xf numFmtId="0" fontId="3" fillId="36" borderId="39" xfId="0" applyFont="1" applyFill="1" applyBorder="1" applyAlignment="1">
      <alignment vertical="center"/>
    </xf>
    <xf numFmtId="176" fontId="3" fillId="36" borderId="10" xfId="0" applyNumberFormat="1" applyFont="1" applyFill="1" applyBorder="1" applyAlignment="1" applyProtection="1">
      <alignment horizontal="center" vertical="center"/>
      <protection locked="0"/>
    </xf>
    <xf numFmtId="176" fontId="3" fillId="36" borderId="17" xfId="0" applyNumberFormat="1" applyFont="1" applyFill="1" applyBorder="1" applyAlignment="1" applyProtection="1">
      <alignment horizontal="center" vertical="center"/>
      <protection locked="0"/>
    </xf>
    <xf numFmtId="176" fontId="3" fillId="36" borderId="18" xfId="0" applyNumberFormat="1" applyFont="1" applyFill="1" applyBorder="1" applyAlignment="1" applyProtection="1">
      <alignment horizontal="left" vertical="center" wrapText="1"/>
      <protection locked="0"/>
    </xf>
    <xf numFmtId="0" fontId="3" fillId="36" borderId="1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right" vertical="center" wrapText="1"/>
    </xf>
    <xf numFmtId="0" fontId="3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 vertic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vertical="center"/>
    </xf>
    <xf numFmtId="0" fontId="3" fillId="36" borderId="13" xfId="0" applyFont="1" applyFill="1" applyBorder="1" applyAlignment="1">
      <alignment horizontal="right" vertical="center"/>
    </xf>
    <xf numFmtId="0" fontId="3" fillId="36" borderId="13" xfId="0" applyFont="1" applyFill="1" applyBorder="1" applyAlignment="1">
      <alignment horizontal="right" vertical="center" wrapText="1"/>
    </xf>
    <xf numFmtId="0" fontId="3" fillId="36" borderId="12" xfId="0" applyFont="1" applyFill="1" applyBorder="1" applyAlignment="1">
      <alignment horizontal="right" vertical="center" wrapText="1"/>
    </xf>
    <xf numFmtId="0" fontId="3" fillId="36" borderId="4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vertical="center"/>
    </xf>
    <xf numFmtId="0" fontId="3" fillId="36" borderId="0" xfId="0" applyFont="1" applyFill="1" applyAlignment="1">
      <alignment horizontal="center"/>
    </xf>
    <xf numFmtId="0" fontId="3" fillId="36" borderId="0" xfId="0" applyFont="1" applyFill="1" applyAlignment="1">
      <alignment horizontal="left"/>
    </xf>
    <xf numFmtId="0" fontId="4" fillId="36" borderId="10" xfId="0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36" borderId="38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left" vertical="center"/>
    </xf>
    <xf numFmtId="176" fontId="4" fillId="33" borderId="16" xfId="0" applyNumberFormat="1" applyFont="1" applyFill="1" applyBorder="1" applyAlignment="1">
      <alignment horizontal="center" vertical="center"/>
    </xf>
    <xf numFmtId="176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right" vertical="center" wrapText="1"/>
    </xf>
    <xf numFmtId="176" fontId="50" fillId="36" borderId="11" xfId="0" applyNumberFormat="1" applyFont="1" applyFill="1" applyBorder="1" applyAlignment="1" applyProtection="1">
      <alignment horizontal="center" vertical="center"/>
      <protection/>
    </xf>
    <xf numFmtId="176" fontId="50" fillId="36" borderId="17" xfId="0" applyNumberFormat="1" applyFont="1" applyFill="1" applyBorder="1" applyAlignment="1" applyProtection="1">
      <alignment horizontal="center" vertical="center"/>
      <protection/>
    </xf>
    <xf numFmtId="0" fontId="3" fillId="36" borderId="12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0" fontId="10" fillId="37" borderId="0" xfId="0" applyFont="1" applyFill="1" applyAlignment="1">
      <alignment/>
    </xf>
    <xf numFmtId="0" fontId="3" fillId="36" borderId="12" xfId="0" applyFont="1" applyFill="1" applyBorder="1" applyAlignment="1">
      <alignment horizontal="right" vertical="center"/>
    </xf>
    <xf numFmtId="0" fontId="3" fillId="36" borderId="16" xfId="0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right" vertical="center" wrapText="1"/>
    </xf>
    <xf numFmtId="0" fontId="3" fillId="36" borderId="10" xfId="0" applyFont="1" applyFill="1" applyBorder="1" applyAlignment="1" applyProtection="1">
      <alignment horizontal="right" vertical="center" wrapText="1"/>
      <protection/>
    </xf>
    <xf numFmtId="176" fontId="3" fillId="0" borderId="42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right" vertical="center"/>
      <protection/>
    </xf>
    <xf numFmtId="0" fontId="3" fillId="33" borderId="19" xfId="0" applyFont="1" applyFill="1" applyBorder="1" applyAlignment="1" applyProtection="1">
      <alignment horizontal="right" vertical="center"/>
      <protection/>
    </xf>
    <xf numFmtId="0" fontId="3" fillId="33" borderId="12" xfId="0" applyFont="1" applyFill="1" applyBorder="1" applyAlignment="1" applyProtection="1">
      <alignment horizontal="right" vertical="center"/>
      <protection/>
    </xf>
    <xf numFmtId="0" fontId="3" fillId="33" borderId="16" xfId="0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right"/>
      <protection locked="0"/>
    </xf>
    <xf numFmtId="49" fontId="3" fillId="36" borderId="35" xfId="0" applyNumberFormat="1" applyFont="1" applyFill="1" applyBorder="1" applyAlignment="1">
      <alignment horizontal="left" vertical="center"/>
    </xf>
    <xf numFmtId="0" fontId="0" fillId="36" borderId="43" xfId="0" applyFill="1" applyBorder="1" applyAlignment="1">
      <alignment vertical="center"/>
    </xf>
    <xf numFmtId="49" fontId="3" fillId="36" borderId="12" xfId="0" applyNumberFormat="1" applyFont="1" applyFill="1" applyBorder="1" applyAlignment="1">
      <alignment horizontal="left" vertical="center"/>
    </xf>
    <xf numFmtId="0" fontId="0" fillId="36" borderId="41" xfId="0" applyFill="1" applyBorder="1" applyAlignment="1">
      <alignment vertical="center"/>
    </xf>
    <xf numFmtId="0" fontId="3" fillId="36" borderId="16" xfId="0" applyFont="1" applyFill="1" applyBorder="1" applyAlignment="1">
      <alignment horizontal="left" vertical="center"/>
    </xf>
    <xf numFmtId="0" fontId="3" fillId="36" borderId="22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 applyProtection="1">
      <alignment horizontal="left" vertical="center" wrapText="1"/>
      <protection/>
    </xf>
    <xf numFmtId="0" fontId="3" fillId="36" borderId="12" xfId="0" applyFont="1" applyFill="1" applyBorder="1" applyAlignment="1" applyProtection="1">
      <alignment horizontal="left" vertical="center" wrapText="1"/>
      <protection/>
    </xf>
    <xf numFmtId="0" fontId="4" fillId="36" borderId="12" xfId="0" applyFont="1" applyFill="1" applyBorder="1" applyAlignment="1" applyProtection="1">
      <alignment horizontal="left" vertical="center" wrapText="1"/>
      <protection/>
    </xf>
    <xf numFmtId="0" fontId="16" fillId="36" borderId="12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right" vertical="center" wrapText="1"/>
      <protection/>
    </xf>
    <xf numFmtId="0" fontId="3" fillId="33" borderId="12" xfId="0" applyFont="1" applyFill="1" applyBorder="1" applyAlignment="1" applyProtection="1">
      <alignment horizontal="right" vertical="center" wrapText="1"/>
      <protection/>
    </xf>
    <xf numFmtId="0" fontId="3" fillId="36" borderId="12" xfId="0" applyFont="1" applyFill="1" applyBorder="1" applyAlignment="1" applyProtection="1">
      <alignment horizontal="right" vertical="center" wrapText="1"/>
      <protection/>
    </xf>
    <xf numFmtId="0" fontId="3" fillId="36" borderId="12" xfId="0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 applyProtection="1">
      <alignment horizontal="right" vertical="center" wrapText="1"/>
      <protection/>
    </xf>
    <xf numFmtId="0" fontId="3" fillId="36" borderId="44" xfId="0" applyFont="1" applyFill="1" applyBorder="1" applyAlignment="1" applyProtection="1">
      <alignment horizontal="left" vertical="center" wrapText="1"/>
      <protection/>
    </xf>
    <xf numFmtId="0" fontId="3" fillId="36" borderId="15" xfId="0" applyFont="1" applyFill="1" applyBorder="1" applyAlignment="1" applyProtection="1">
      <alignment horizontal="left" vertical="center" wrapText="1"/>
      <protection/>
    </xf>
    <xf numFmtId="0" fontId="4" fillId="36" borderId="12" xfId="0" applyFont="1" applyFill="1" applyBorder="1" applyAlignment="1" applyProtection="1">
      <alignment horizontal="right" vertical="center" wrapText="1"/>
      <protection/>
    </xf>
    <xf numFmtId="0" fontId="3" fillId="36" borderId="44" xfId="0" applyFont="1" applyFill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0" fontId="3" fillId="33" borderId="36" xfId="0" applyFont="1" applyFill="1" applyBorder="1" applyAlignment="1">
      <alignment horizontal="left" vertical="center" wrapText="1"/>
    </xf>
    <xf numFmtId="0" fontId="0" fillId="33" borderId="45" xfId="0" applyFill="1" applyBorder="1" applyAlignment="1">
      <alignment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" fillId="33" borderId="16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3" fillId="33" borderId="22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vertical="center" wrapText="1"/>
    </xf>
    <xf numFmtId="0" fontId="0" fillId="36" borderId="12" xfId="0" applyFill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66"/>
  </sheetPr>
  <dimension ref="A1:B11"/>
  <sheetViews>
    <sheetView view="pageBreakPreview" zoomScale="90" zoomScaleSheetLayoutView="90" zoomScalePageLayoutView="0" workbookViewId="0" topLeftCell="A1">
      <selection activeCell="B1" sqref="B1"/>
    </sheetView>
  </sheetViews>
  <sheetFormatPr defaultColWidth="9.00390625" defaultRowHeight="20.25" customHeight="1"/>
  <cols>
    <col min="1" max="1" width="4.125" style="2" customWidth="1"/>
    <col min="2" max="2" width="135.00390625" style="3" customWidth="1"/>
    <col min="3" max="10" width="11.375" style="1" customWidth="1"/>
    <col min="11" max="11" width="9.125" style="1" customWidth="1"/>
    <col min="12" max="16384" width="9.00390625" style="1" customWidth="1"/>
  </cols>
  <sheetData>
    <row r="1" ht="35.25" customHeight="1">
      <c r="A1" s="27" t="s">
        <v>32</v>
      </c>
    </row>
    <row r="2" spans="1:2" ht="18.75">
      <c r="A2" s="28" t="s">
        <v>84</v>
      </c>
      <c r="B2" s="53" t="s">
        <v>328</v>
      </c>
    </row>
    <row r="3" spans="1:2" ht="56.25">
      <c r="A3" s="28" t="s">
        <v>85</v>
      </c>
      <c r="B3" s="34" t="s">
        <v>329</v>
      </c>
    </row>
    <row r="4" spans="1:2" ht="18.75">
      <c r="A4" s="28" t="s">
        <v>86</v>
      </c>
      <c r="B4" s="29" t="s">
        <v>33</v>
      </c>
    </row>
    <row r="5" spans="1:2" ht="18.75">
      <c r="A5" s="28" t="s">
        <v>87</v>
      </c>
      <c r="B5" s="29" t="s">
        <v>34</v>
      </c>
    </row>
    <row r="6" spans="1:2" ht="75">
      <c r="A6" s="28" t="s">
        <v>88</v>
      </c>
      <c r="B6" s="35" t="s">
        <v>324</v>
      </c>
    </row>
    <row r="7" spans="1:2" ht="18.75">
      <c r="A7" s="28" t="s">
        <v>89</v>
      </c>
      <c r="B7" s="29" t="s">
        <v>228</v>
      </c>
    </row>
    <row r="8" spans="1:2" ht="20.25" customHeight="1">
      <c r="A8" s="28">
        <v>7</v>
      </c>
      <c r="B8" s="35" t="s">
        <v>74</v>
      </c>
    </row>
    <row r="9" spans="1:2" ht="20.25" customHeight="1">
      <c r="A9" s="35"/>
      <c r="B9" s="35" t="s">
        <v>75</v>
      </c>
    </row>
    <row r="10" spans="1:2" ht="20.25" customHeight="1">
      <c r="A10" s="35"/>
      <c r="B10" s="35" t="s">
        <v>76</v>
      </c>
    </row>
    <row r="11" spans="1:2" ht="20.25" customHeight="1">
      <c r="A11" s="35"/>
      <c r="B11" s="35" t="s">
        <v>77</v>
      </c>
    </row>
  </sheetData>
  <sheetProtection password="FF3F" sheet="1"/>
  <protectedRanges>
    <protectedRange sqref="B1" name="範圍1"/>
  </protectedRanges>
  <printOptions/>
  <pageMargins left="0.3937007874015748" right="0.2362204724409449" top="0.7086614173228347" bottom="0.7480314960629921" header="0.31496062992125984" footer="0.31496062992125984"/>
  <pageSetup horizontalDpi="300" verticalDpi="300" orientation="landscape" paperSize="9" r:id="rId1"/>
  <headerFooter>
    <oddHeader>&amp;R&amp;"微軟正黑體,標準"實地評鑑前月平均人力統計表(105)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90" zoomScalePageLayoutView="0" workbookViewId="0" topLeftCell="A1">
      <selection activeCell="A1" sqref="A1"/>
    </sheetView>
  </sheetViews>
  <sheetFormatPr defaultColWidth="9.00390625" defaultRowHeight="20.25" customHeight="1"/>
  <cols>
    <col min="1" max="1" width="33.875" style="4" customWidth="1"/>
    <col min="2" max="6" width="8.50390625" style="4" customWidth="1"/>
    <col min="7" max="7" width="7.25390625" style="4" customWidth="1"/>
    <col min="8" max="8" width="2.125" style="4" customWidth="1"/>
    <col min="9" max="9" width="50.125" style="4" customWidth="1"/>
    <col min="10" max="10" width="9.00390625" style="4" customWidth="1"/>
    <col min="11" max="11" width="9.00390625" style="36" customWidth="1"/>
    <col min="12" max="16384" width="9.00390625" style="4" customWidth="1"/>
  </cols>
  <sheetData>
    <row r="1" spans="1:11" ht="32.25" customHeight="1" thickBot="1">
      <c r="A1" s="11" t="s">
        <v>323</v>
      </c>
      <c r="K1" s="49" t="s">
        <v>29</v>
      </c>
    </row>
    <row r="2" spans="1:11" s="10" customFormat="1" ht="32.25" customHeight="1">
      <c r="A2" s="48" t="s">
        <v>26</v>
      </c>
      <c r="B2" s="114" t="s">
        <v>245</v>
      </c>
      <c r="C2" s="114" t="s">
        <v>246</v>
      </c>
      <c r="D2" s="114" t="s">
        <v>247</v>
      </c>
      <c r="E2" s="114" t="s">
        <v>248</v>
      </c>
      <c r="F2" s="115" t="s">
        <v>249</v>
      </c>
      <c r="G2" s="41" t="s">
        <v>260</v>
      </c>
      <c r="H2" s="209" t="s">
        <v>39</v>
      </c>
      <c r="I2" s="211"/>
      <c r="K2" s="50" t="s">
        <v>30</v>
      </c>
    </row>
    <row r="3" spans="1:9" ht="25.5" customHeight="1">
      <c r="A3" s="20" t="s">
        <v>308</v>
      </c>
      <c r="B3" s="21">
        <f>'05-職能治療人力'!B6</f>
        <v>0</v>
      </c>
      <c r="C3" s="21">
        <f>'05-職能治療人力'!C6</f>
        <v>0</v>
      </c>
      <c r="D3" s="21">
        <f>'05-職能治療人力'!D6</f>
        <v>0</v>
      </c>
      <c r="E3" s="21">
        <f>'05-職能治療人力'!E6</f>
        <v>0</v>
      </c>
      <c r="F3" s="91">
        <f>'05-職能治療人力'!F6</f>
        <v>0</v>
      </c>
      <c r="G3" s="103" t="s">
        <v>307</v>
      </c>
      <c r="H3" s="214"/>
      <c r="I3" s="219"/>
    </row>
    <row r="4" spans="1:9" ht="25.5" customHeight="1">
      <c r="A4" s="20" t="s">
        <v>309</v>
      </c>
      <c r="B4" s="21">
        <f>'06-臨床心理人力'!B6</f>
        <v>0</v>
      </c>
      <c r="C4" s="21">
        <f>'06-臨床心理人力'!C6</f>
        <v>0</v>
      </c>
      <c r="D4" s="21">
        <f>'06-臨床心理人力'!D6</f>
        <v>0</v>
      </c>
      <c r="E4" s="21">
        <f>'06-臨床心理人力'!E6</f>
        <v>0</v>
      </c>
      <c r="F4" s="91">
        <f>'06-臨床心理人力'!F6</f>
        <v>0</v>
      </c>
      <c r="G4" s="103" t="s">
        <v>311</v>
      </c>
      <c r="H4" s="94"/>
      <c r="I4" s="105"/>
    </row>
    <row r="5" spans="1:9" ht="25.5" customHeight="1">
      <c r="A5" s="20" t="s">
        <v>310</v>
      </c>
      <c r="B5" s="21">
        <f>'07-社會工作人力'!B6</f>
        <v>0</v>
      </c>
      <c r="C5" s="21">
        <f>'07-社會工作人力'!C6</f>
        <v>0</v>
      </c>
      <c r="D5" s="21">
        <f>'07-社會工作人力'!D6</f>
        <v>0</v>
      </c>
      <c r="E5" s="21">
        <v>0</v>
      </c>
      <c r="F5" s="91">
        <f>'07-社會工作人力'!F6</f>
        <v>0</v>
      </c>
      <c r="G5" s="103" t="s">
        <v>312</v>
      </c>
      <c r="H5" s="107"/>
      <c r="I5" s="109"/>
    </row>
    <row r="6" spans="1:9" ht="31.5">
      <c r="A6" s="118" t="s">
        <v>28</v>
      </c>
      <c r="B6" s="21">
        <f>ROUND(ROUNDDOWN(SUM(B3:B5),1),0)</f>
        <v>0</v>
      </c>
      <c r="C6" s="21">
        <f>ROUND(ROUNDDOWN(SUM(C3:C5),1),0)</f>
        <v>0</v>
      </c>
      <c r="D6" s="21">
        <f>ROUND(ROUNDDOWN(SUM(D3:D5),1),0)</f>
        <v>0</v>
      </c>
      <c r="E6" s="21">
        <f>ROUND(ROUNDDOWN(SUM(E3:E5),1),0)</f>
        <v>0</v>
      </c>
      <c r="F6" s="91">
        <f>ROUND(ROUNDDOWN(SUM(F3:F5),1),0)</f>
        <v>0</v>
      </c>
      <c r="G6" s="103" t="s">
        <v>313</v>
      </c>
      <c r="H6" s="107" t="s">
        <v>41</v>
      </c>
      <c r="I6" s="104" t="s">
        <v>317</v>
      </c>
    </row>
    <row r="7" spans="1:9" ht="25.5" customHeight="1">
      <c r="A7" s="126" t="s">
        <v>304</v>
      </c>
      <c r="B7" s="119">
        <f>'05-職能治療人力'!B7</f>
        <v>0</v>
      </c>
      <c r="C7" s="119">
        <f>'05-職能治療人力'!C7</f>
        <v>0</v>
      </c>
      <c r="D7" s="119">
        <f>'05-職能治療人力'!D7</f>
        <v>0</v>
      </c>
      <c r="E7" s="119">
        <f>'05-職能治療人力'!E7</f>
        <v>0</v>
      </c>
      <c r="F7" s="120">
        <f>'05-職能治療人力'!F7</f>
        <v>0</v>
      </c>
      <c r="G7" s="121" t="s">
        <v>314</v>
      </c>
      <c r="H7" s="107"/>
      <c r="I7" s="104"/>
    </row>
    <row r="8" spans="1:9" ht="25.5" customHeight="1">
      <c r="A8" s="126" t="s">
        <v>305</v>
      </c>
      <c r="B8" s="119">
        <f>'06-臨床心理人力'!B7</f>
        <v>0</v>
      </c>
      <c r="C8" s="119">
        <f>'06-臨床心理人力'!C7</f>
        <v>0</v>
      </c>
      <c r="D8" s="119">
        <f>'06-臨床心理人力'!D7</f>
        <v>0</v>
      </c>
      <c r="E8" s="119">
        <f>'06-臨床心理人力'!E7</f>
        <v>0</v>
      </c>
      <c r="F8" s="120">
        <f>'06-臨床心理人力'!F7</f>
        <v>0</v>
      </c>
      <c r="G8" s="121" t="s">
        <v>315</v>
      </c>
      <c r="H8" s="107"/>
      <c r="I8" s="104"/>
    </row>
    <row r="9" spans="1:9" ht="25.5" customHeight="1">
      <c r="A9" s="126" t="s">
        <v>306</v>
      </c>
      <c r="B9" s="119">
        <f>'07-社會工作人力'!B7</f>
        <v>0</v>
      </c>
      <c r="C9" s="119">
        <f>'07-社會工作人力'!C7</f>
        <v>0</v>
      </c>
      <c r="D9" s="119">
        <f>'07-社會工作人力'!D7</f>
        <v>0</v>
      </c>
      <c r="E9" s="119">
        <f>'07-社會工作人力'!E7</f>
        <v>0</v>
      </c>
      <c r="F9" s="120">
        <f>'07-社會工作人力'!F7</f>
        <v>0</v>
      </c>
      <c r="G9" s="122" t="s">
        <v>316</v>
      </c>
      <c r="H9" s="107"/>
      <c r="I9" s="104"/>
    </row>
    <row r="10" spans="1:9" ht="15.75">
      <c r="A10" s="118" t="s">
        <v>318</v>
      </c>
      <c r="B10" s="119">
        <f>B7+B8+B9</f>
        <v>0</v>
      </c>
      <c r="C10" s="119">
        <f>C7+C8+C9</f>
        <v>0</v>
      </c>
      <c r="D10" s="119">
        <f>D7+D8+D9</f>
        <v>0</v>
      </c>
      <c r="E10" s="119">
        <f>E7+E8+E9</f>
        <v>0</v>
      </c>
      <c r="F10" s="120">
        <f>F7+F8+F9</f>
        <v>0</v>
      </c>
      <c r="G10" s="122" t="s">
        <v>319</v>
      </c>
      <c r="H10" s="107"/>
      <c r="I10" s="104" t="s">
        <v>320</v>
      </c>
    </row>
    <row r="11" spans="1:9" ht="30" customHeight="1" thickBot="1">
      <c r="A11" s="169" t="s">
        <v>321</v>
      </c>
      <c r="B11" s="170">
        <f>IF(B10&gt;0,IF(B10&lt;B6,"否","是"),"")</f>
      </c>
      <c r="C11" s="170">
        <f>IF(C10&gt;0,IF(C10&lt;C6,"否","是"),"")</f>
      </c>
      <c r="D11" s="170">
        <f>IF(D10&gt;0,IF(D10&lt;D6,"否","是"),"")</f>
      </c>
      <c r="E11" s="170">
        <f>IF(E10&gt;0,IF(E10&lt;E6,"否","是"),"")</f>
      </c>
      <c r="F11" s="171">
        <f>IF(F10&gt;0,IF(F10&lt;F6,"否","是"),"")</f>
      </c>
      <c r="G11" s="123" t="s">
        <v>322</v>
      </c>
      <c r="H11" s="124"/>
      <c r="I11" s="125"/>
    </row>
    <row r="12" spans="1:9" ht="24" customHeight="1">
      <c r="A12" s="150" t="s">
        <v>303</v>
      </c>
      <c r="B12" s="151"/>
      <c r="C12" s="151"/>
      <c r="D12" s="151"/>
      <c r="E12" s="151"/>
      <c r="F12" s="151"/>
      <c r="G12" s="152"/>
      <c r="H12" s="152"/>
      <c r="I12" s="152"/>
    </row>
    <row r="13" ht="33.75" customHeight="1">
      <c r="A13" s="5"/>
    </row>
  </sheetData>
  <sheetProtection password="FF3F" sheet="1" selectLockedCells="1"/>
  <mergeCells count="2">
    <mergeCell ref="H2:I2"/>
    <mergeCell ref="H3:I3"/>
  </mergeCells>
  <dataValidations count="1">
    <dataValidation type="list" allowBlank="1" showInputMessage="1" showErrorMessage="1" sqref="K1:K2">
      <formula1>YN</formula1>
    </dataValidation>
  </dataValidations>
  <printOptions/>
  <pageMargins left="0.5905511811023623" right="0.31496062992125984" top="0.6692913385826772" bottom="0.4330708661417323" header="0.2362204724409449" footer="0.11811023622047245"/>
  <pageSetup horizontalDpi="600" verticalDpi="600" orientation="landscape" paperSize="9" scale="85" r:id="rId1"/>
  <headerFooter>
    <oddFooter>&amp;R&amp;"微軟正黑體,標準"&amp;10第 &amp;P 頁，共 &amp;N 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view="pageBreakPreview" zoomScaleSheetLayoutView="100" zoomScalePageLayoutView="0" workbookViewId="0" topLeftCell="A1">
      <selection activeCell="C1" sqref="C1"/>
    </sheetView>
  </sheetViews>
  <sheetFormatPr defaultColWidth="9.00390625" defaultRowHeight="21.75" customHeight="1"/>
  <cols>
    <col min="1" max="1" width="37.75390625" style="5" customWidth="1"/>
    <col min="2" max="6" width="9.50390625" style="5" customWidth="1"/>
    <col min="7" max="7" width="6.125" style="56" customWidth="1"/>
    <col min="8" max="8" width="2.125" style="5" customWidth="1"/>
    <col min="9" max="9" width="42.75390625" style="5" customWidth="1"/>
    <col min="10" max="16384" width="9.00390625" style="5" customWidth="1"/>
  </cols>
  <sheetData>
    <row r="1" ht="31.5" customHeight="1">
      <c r="A1" s="18" t="s">
        <v>27</v>
      </c>
    </row>
    <row r="2" spans="1:9" ht="32.25" customHeight="1">
      <c r="A2" s="172" t="s">
        <v>26</v>
      </c>
      <c r="B2" s="173" t="s">
        <v>245</v>
      </c>
      <c r="C2" s="173" t="s">
        <v>246</v>
      </c>
      <c r="D2" s="173" t="s">
        <v>247</v>
      </c>
      <c r="E2" s="173" t="s">
        <v>248</v>
      </c>
      <c r="F2" s="173" t="s">
        <v>249</v>
      </c>
      <c r="G2" s="173" t="s">
        <v>262</v>
      </c>
      <c r="H2" s="220" t="s">
        <v>39</v>
      </c>
      <c r="I2" s="221"/>
    </row>
    <row r="3" spans="1:9" ht="51" customHeight="1">
      <c r="A3" s="79" t="s">
        <v>25</v>
      </c>
      <c r="B3" s="15">
        <f>ROUND(ROUNDDOWN(B4+B5+B6+B7,1),0)</f>
        <v>0</v>
      </c>
      <c r="C3" s="15">
        <f>ROUND(ROUNDDOWN(C4+C5+C6+C7,1),0)</f>
        <v>0</v>
      </c>
      <c r="D3" s="15">
        <f>ROUND(ROUNDDOWN(D4+D5+D6+D7,1),0)</f>
        <v>0</v>
      </c>
      <c r="E3" s="15">
        <f>ROUND(ROUNDDOWN(E4+E5+E6+E7,1),0)</f>
        <v>0</v>
      </c>
      <c r="F3" s="15">
        <f>ROUND(ROUNDDOWN(F4+F5+F6+F7,1),0)</f>
        <v>0</v>
      </c>
      <c r="G3" s="15" t="s">
        <v>118</v>
      </c>
      <c r="H3" s="40" t="s">
        <v>41</v>
      </c>
      <c r="I3" s="61" t="s">
        <v>154</v>
      </c>
    </row>
    <row r="4" spans="1:9" ht="31.5">
      <c r="A4" s="60" t="s">
        <v>145</v>
      </c>
      <c r="B4" s="15">
        <f>'00-基本資料表'!C3/20</f>
        <v>0</v>
      </c>
      <c r="C4" s="15">
        <f>'00-基本資料表'!D3/20</f>
        <v>0</v>
      </c>
      <c r="D4" s="15">
        <f>'00-基本資料表'!E3/20</f>
        <v>0</v>
      </c>
      <c r="E4" s="15">
        <f>'00-基本資料表'!F3/20</f>
        <v>0</v>
      </c>
      <c r="F4" s="15">
        <f>'00-基本資料表'!G3/20</f>
        <v>0</v>
      </c>
      <c r="G4" s="15" t="s">
        <v>150</v>
      </c>
      <c r="H4" s="37" t="s">
        <v>41</v>
      </c>
      <c r="I4" s="57" t="s">
        <v>144</v>
      </c>
    </row>
    <row r="5" spans="1:9" ht="31.5">
      <c r="A5" s="60" t="s">
        <v>146</v>
      </c>
      <c r="B5" s="15">
        <f>'00-基本資料表'!C12/120</f>
        <v>0</v>
      </c>
      <c r="C5" s="15">
        <f>'00-基本資料表'!D12/120</f>
        <v>0</v>
      </c>
      <c r="D5" s="15">
        <f>'00-基本資料表'!E12/120</f>
        <v>0</v>
      </c>
      <c r="E5" s="15">
        <f>'00-基本資料表'!F12/120</f>
        <v>0</v>
      </c>
      <c r="F5" s="15">
        <f>'00-基本資料表'!G12/120</f>
        <v>0</v>
      </c>
      <c r="G5" s="15" t="s">
        <v>151</v>
      </c>
      <c r="H5" s="37" t="s">
        <v>41</v>
      </c>
      <c r="I5" s="57" t="s">
        <v>147</v>
      </c>
    </row>
    <row r="6" spans="1:9" ht="30" customHeight="1">
      <c r="A6" s="60" t="s">
        <v>149</v>
      </c>
      <c r="B6" s="15">
        <f>'00-基本資料表'!C35/10</f>
        <v>0</v>
      </c>
      <c r="C6" s="15">
        <f>'00-基本資料表'!D35/10</f>
        <v>0</v>
      </c>
      <c r="D6" s="15">
        <f>'00-基本資料表'!E35/10</f>
        <v>0</v>
      </c>
      <c r="E6" s="15">
        <f>'00-基本資料表'!F35/10</f>
        <v>0</v>
      </c>
      <c r="F6" s="15">
        <f>'00-基本資料表'!G35/10</f>
        <v>0</v>
      </c>
      <c r="G6" s="15" t="s">
        <v>152</v>
      </c>
      <c r="H6" s="37" t="s">
        <v>41</v>
      </c>
      <c r="I6" s="57" t="s">
        <v>224</v>
      </c>
    </row>
    <row r="7" spans="1:9" ht="30" customHeight="1">
      <c r="A7" s="60" t="s">
        <v>148</v>
      </c>
      <c r="B7" s="15">
        <f>'00-基本資料表'!C38/150</f>
        <v>0</v>
      </c>
      <c r="C7" s="15">
        <f>'00-基本資料表'!D38/150</f>
        <v>0</v>
      </c>
      <c r="D7" s="15">
        <f>'00-基本資料表'!E38/150</f>
        <v>0</v>
      </c>
      <c r="E7" s="15">
        <f>'00-基本資料表'!F38/150</f>
        <v>0</v>
      </c>
      <c r="F7" s="15">
        <f>'00-基本資料表'!G38/150</f>
        <v>0</v>
      </c>
      <c r="G7" s="15" t="s">
        <v>153</v>
      </c>
      <c r="H7" s="37" t="s">
        <v>41</v>
      </c>
      <c r="I7" s="57" t="s">
        <v>239</v>
      </c>
    </row>
    <row r="8" spans="1:9" ht="48.75" customHeight="1">
      <c r="A8" s="80" t="s">
        <v>250</v>
      </c>
      <c r="B8" s="14">
        <f>ROUND(ROUNDDOWN(SUM(B9:B12),1),0)</f>
        <v>0</v>
      </c>
      <c r="C8" s="14">
        <f>ROUND(ROUNDDOWN(SUM(C9:C12),1),0)</f>
        <v>0</v>
      </c>
      <c r="D8" s="14">
        <f>ROUND(ROUNDDOWN(SUM(D9:D12),1),0)</f>
        <v>0</v>
      </c>
      <c r="E8" s="14">
        <f>ROUND(ROUNDDOWN(SUM(E9:E12),1),0)</f>
        <v>0</v>
      </c>
      <c r="F8" s="14">
        <f>ROUND(ROUNDDOWN(SUM(F9:F12),1),0)</f>
        <v>0</v>
      </c>
      <c r="G8" s="15" t="s">
        <v>119</v>
      </c>
      <c r="H8" s="37" t="s">
        <v>41</v>
      </c>
      <c r="I8" s="57" t="s">
        <v>161</v>
      </c>
    </row>
    <row r="9" spans="1:9" ht="36" customHeight="1">
      <c r="A9" s="60" t="s">
        <v>112</v>
      </c>
      <c r="B9" s="15">
        <f>'00-基本資料表'!C3/3.5</f>
        <v>0</v>
      </c>
      <c r="C9" s="15">
        <f>'00-基本資料表'!D3/3.5</f>
        <v>0</v>
      </c>
      <c r="D9" s="15">
        <f>'00-基本資料表'!E3/3.5</f>
        <v>0</v>
      </c>
      <c r="E9" s="15">
        <f>'00-基本資料表'!F3/3.5</f>
        <v>0</v>
      </c>
      <c r="F9" s="15">
        <f>'00-基本資料表'!G3/3.5</f>
        <v>0</v>
      </c>
      <c r="G9" s="15" t="s">
        <v>121</v>
      </c>
      <c r="H9" s="46" t="s">
        <v>41</v>
      </c>
      <c r="I9" s="47" t="s">
        <v>111</v>
      </c>
    </row>
    <row r="10" spans="1:9" ht="36" customHeight="1">
      <c r="A10" s="60" t="s">
        <v>114</v>
      </c>
      <c r="B10" s="15">
        <f>'00-基本資料表'!C12/15</f>
        <v>0</v>
      </c>
      <c r="C10" s="15">
        <f>'00-基本資料表'!D12/15</f>
        <v>0</v>
      </c>
      <c r="D10" s="15">
        <f>'00-基本資料表'!E12/15</f>
        <v>0</v>
      </c>
      <c r="E10" s="15">
        <f>'00-基本資料表'!F12/15</f>
        <v>0</v>
      </c>
      <c r="F10" s="15">
        <f>'00-基本資料表'!G12/15</f>
        <v>0</v>
      </c>
      <c r="G10" s="15" t="s">
        <v>123</v>
      </c>
      <c r="H10" s="46" t="s">
        <v>41</v>
      </c>
      <c r="I10" s="47" t="s">
        <v>167</v>
      </c>
    </row>
    <row r="11" spans="1:9" ht="24.75" customHeight="1">
      <c r="A11" s="117" t="s">
        <v>113</v>
      </c>
      <c r="B11" s="15">
        <f>'00-基本資料表'!C35/2</f>
        <v>0</v>
      </c>
      <c r="C11" s="15">
        <f>'00-基本資料表'!D35/2</f>
        <v>0</v>
      </c>
      <c r="D11" s="15">
        <f>'00-基本資料表'!E35/2</f>
        <v>0</v>
      </c>
      <c r="E11" s="15">
        <f>'00-基本資料表'!F35/2</f>
        <v>0</v>
      </c>
      <c r="F11" s="15">
        <f>'00-基本資料表'!G35/2</f>
        <v>0</v>
      </c>
      <c r="G11" s="15" t="s">
        <v>126</v>
      </c>
      <c r="H11" s="44" t="s">
        <v>41</v>
      </c>
      <c r="I11" s="45" t="s">
        <v>222</v>
      </c>
    </row>
    <row r="12" spans="1:9" ht="24.75" customHeight="1">
      <c r="A12" s="60" t="s">
        <v>117</v>
      </c>
      <c r="B12" s="15">
        <f>'00-基本資料表'!C38/20</f>
        <v>0</v>
      </c>
      <c r="C12" s="15">
        <f>'00-基本資料表'!D38/20</f>
        <v>0</v>
      </c>
      <c r="D12" s="15">
        <f>'00-基本資料表'!E38/20</f>
        <v>0</v>
      </c>
      <c r="E12" s="15">
        <f>'00-基本資料表'!F38/20</f>
        <v>0</v>
      </c>
      <c r="F12" s="15">
        <f>'00-基本資料表'!G38/20</f>
        <v>0</v>
      </c>
      <c r="G12" s="15" t="s">
        <v>127</v>
      </c>
      <c r="H12" s="44" t="s">
        <v>41</v>
      </c>
      <c r="I12" s="45" t="s">
        <v>240</v>
      </c>
    </row>
    <row r="13" spans="1:9" ht="54.75" customHeight="1">
      <c r="A13" s="81" t="s">
        <v>120</v>
      </c>
      <c r="B13" s="69">
        <f>ROUND(ROUNDDOWN(SUM(B14:B16),1),0)</f>
        <v>0</v>
      </c>
      <c r="C13" s="69">
        <f>ROUND(ROUNDDOWN(SUM(C14:C16),1),0)</f>
        <v>0</v>
      </c>
      <c r="D13" s="69">
        <f>ROUND(ROUNDDOWN(SUM(D14:D16),1),0)</f>
        <v>0</v>
      </c>
      <c r="E13" s="69">
        <f>ROUND(ROUNDDOWN(SUM(E14:E16),1),0)</f>
        <v>0</v>
      </c>
      <c r="F13" s="69">
        <f>ROUND(ROUNDDOWN(SUM(F14:F16),1),0)</f>
        <v>0</v>
      </c>
      <c r="G13" s="68" t="s">
        <v>131</v>
      </c>
      <c r="H13" s="37" t="s">
        <v>41</v>
      </c>
      <c r="I13" s="57" t="s">
        <v>162</v>
      </c>
    </row>
    <row r="14" spans="1:9" ht="31.5" customHeight="1">
      <c r="A14" s="60" t="s">
        <v>128</v>
      </c>
      <c r="B14" s="62">
        <f>('00-基本資料表'!C3+'00-基本資料表'!C35)/50</f>
        <v>0</v>
      </c>
      <c r="C14" s="62">
        <f>('00-基本資料表'!D3+'00-基本資料表'!D35)/50</f>
        <v>0</v>
      </c>
      <c r="D14" s="62">
        <f>('00-基本資料表'!E3+'00-基本資料表'!E35)/50</f>
        <v>0</v>
      </c>
      <c r="E14" s="62">
        <f>('00-基本資料表'!F3+'00-基本資料表'!F35)/50</f>
        <v>0</v>
      </c>
      <c r="F14" s="62">
        <f>('00-基本資料表'!G3+'00-基本資料表'!G35)/50</f>
        <v>0</v>
      </c>
      <c r="G14" s="15" t="s">
        <v>132</v>
      </c>
      <c r="H14" s="44" t="s">
        <v>41</v>
      </c>
      <c r="I14" s="45" t="s">
        <v>225</v>
      </c>
    </row>
    <row r="15" spans="1:9" ht="31.5" customHeight="1">
      <c r="A15" s="60" t="s">
        <v>122</v>
      </c>
      <c r="B15" s="62">
        <f>'00-基本資料表'!C12/200</f>
        <v>0</v>
      </c>
      <c r="C15" s="62">
        <f>'00-基本資料表'!D12/200</f>
        <v>0</v>
      </c>
      <c r="D15" s="62">
        <f>'00-基本資料表'!E12/200</f>
        <v>0</v>
      </c>
      <c r="E15" s="62">
        <f>'00-基本資料表'!F12/200</f>
        <v>0</v>
      </c>
      <c r="F15" s="62">
        <f>'00-基本資料表'!G12/200</f>
        <v>0</v>
      </c>
      <c r="G15" s="15" t="s">
        <v>135</v>
      </c>
      <c r="H15" s="44" t="s">
        <v>124</v>
      </c>
      <c r="I15" s="45" t="s">
        <v>125</v>
      </c>
    </row>
    <row r="16" spans="1:9" ht="31.5" customHeight="1">
      <c r="A16" s="60" t="s">
        <v>129</v>
      </c>
      <c r="B16" s="62">
        <f>'00-基本資料表'!C38/200</f>
        <v>0</v>
      </c>
      <c r="C16" s="62">
        <f>'00-基本資料表'!D38/200</f>
        <v>0</v>
      </c>
      <c r="D16" s="62">
        <f>'00-基本資料表'!E38/200</f>
        <v>0</v>
      </c>
      <c r="E16" s="62">
        <f>'00-基本資料表'!F38/200</f>
        <v>0</v>
      </c>
      <c r="F16" s="62">
        <f>'00-基本資料表'!G38/200</f>
        <v>0</v>
      </c>
      <c r="G16" s="15" t="s">
        <v>136</v>
      </c>
      <c r="H16" s="64" t="s">
        <v>124</v>
      </c>
      <c r="I16" s="65" t="s">
        <v>238</v>
      </c>
    </row>
    <row r="17" spans="1:9" ht="21.75" customHeight="1">
      <c r="A17" s="79" t="s">
        <v>130</v>
      </c>
      <c r="B17" s="15">
        <f>IF('00-基本資料表'!C2&gt;=100,1,0)</f>
        <v>0</v>
      </c>
      <c r="C17" s="15">
        <f>IF('00-基本資料表'!D2&gt;=100,1,0)</f>
        <v>0</v>
      </c>
      <c r="D17" s="15">
        <f>IF('00-基本資料表'!E2&gt;=100,1,0)</f>
        <v>0</v>
      </c>
      <c r="E17" s="15">
        <f>IF('00-基本資料表'!F2&gt;=100,1,0)</f>
        <v>0</v>
      </c>
      <c r="F17" s="15">
        <f>IF('00-基本資料表'!G2&gt;=100,1,0)</f>
        <v>0</v>
      </c>
      <c r="G17" s="15" t="s">
        <v>115</v>
      </c>
      <c r="H17" s="37"/>
      <c r="I17" s="57" t="s">
        <v>166</v>
      </c>
    </row>
    <row r="18" spans="1:9" ht="45" customHeight="1">
      <c r="A18" s="79" t="s">
        <v>133</v>
      </c>
      <c r="B18" s="15">
        <f>ROUND(ROUNDDOWN(SUM(B19:B20),1),0)</f>
        <v>0</v>
      </c>
      <c r="C18" s="15">
        <f>ROUND(ROUNDDOWN(SUM(C19:C20),1),0)</f>
        <v>0</v>
      </c>
      <c r="D18" s="15">
        <f>ROUND(ROUNDDOWN(SUM(D19:D20),1),0)</f>
        <v>0</v>
      </c>
      <c r="E18" s="15">
        <f>ROUND(ROUNDDOWN(SUM(E19:E20),1),0)</f>
        <v>0</v>
      </c>
      <c r="F18" s="15">
        <f>ROUND(ROUNDDOWN(SUM(F19:F20),1),0)</f>
        <v>0</v>
      </c>
      <c r="G18" s="15" t="s">
        <v>155</v>
      </c>
      <c r="H18" s="40" t="s">
        <v>124</v>
      </c>
      <c r="I18" s="61" t="s">
        <v>165</v>
      </c>
    </row>
    <row r="19" spans="1:9" ht="30.75" customHeight="1">
      <c r="A19" s="60" t="s">
        <v>134</v>
      </c>
      <c r="B19" s="15">
        <f>('00-基本資料表'!C3+'00-基本資料表'!C12+'00-基本資料表'!C35)/100</f>
        <v>0</v>
      </c>
      <c r="C19" s="15">
        <f>('00-基本資料表'!D3+'00-基本資料表'!D12+'00-基本資料表'!D35)/100</f>
        <v>0</v>
      </c>
      <c r="D19" s="15">
        <f>('00-基本資料表'!E3+'00-基本資料表'!E12+'00-基本資料表'!E35)/100</f>
        <v>0</v>
      </c>
      <c r="E19" s="15">
        <f>('00-基本資料表'!F3+'00-基本資料表'!F12+'00-基本資料表'!F35)/100</f>
        <v>0</v>
      </c>
      <c r="F19" s="15">
        <f>('00-基本資料表'!G3+'00-基本資料表'!G12+'00-基本資料表'!G35)/100</f>
        <v>0</v>
      </c>
      <c r="G19" s="15" t="s">
        <v>156</v>
      </c>
      <c r="H19" s="40" t="s">
        <v>124</v>
      </c>
      <c r="I19" s="61" t="s">
        <v>226</v>
      </c>
    </row>
    <row r="20" spans="1:9" ht="31.5" customHeight="1">
      <c r="A20" s="60" t="s">
        <v>137</v>
      </c>
      <c r="B20" s="15">
        <f>'00-基本資料表'!C38/75</f>
        <v>0</v>
      </c>
      <c r="C20" s="15">
        <f>'00-基本資料表'!D38/75</f>
        <v>0</v>
      </c>
      <c r="D20" s="15">
        <f>'00-基本資料表'!E38/75</f>
        <v>0</v>
      </c>
      <c r="E20" s="15">
        <f>'00-基本資料表'!F38/75</f>
        <v>0</v>
      </c>
      <c r="F20" s="15">
        <f>'00-基本資料表'!G38/75</f>
        <v>0</v>
      </c>
      <c r="G20" s="15" t="s">
        <v>141</v>
      </c>
      <c r="H20" s="37" t="s">
        <v>124</v>
      </c>
      <c r="I20" s="57" t="s">
        <v>241</v>
      </c>
    </row>
    <row r="21" spans="1:10" ht="59.25" customHeight="1">
      <c r="A21" s="79" t="s">
        <v>138</v>
      </c>
      <c r="B21" s="15">
        <f>ROUND(ROUNDDOWN(SUM(B22:B23),1),0)</f>
        <v>0</v>
      </c>
      <c r="C21" s="15">
        <f>ROUND(ROUNDDOWN(SUM(C22:C23),1),0)</f>
        <v>0</v>
      </c>
      <c r="D21" s="15">
        <f>ROUND(ROUNDDOWN(SUM(D22:D23),1),0)</f>
        <v>0</v>
      </c>
      <c r="E21" s="15">
        <f>ROUND(ROUNDDOWN(SUM(E22:E23),1),0)</f>
        <v>0</v>
      </c>
      <c r="F21" s="15">
        <f>ROUND(ROUNDDOWN(SUM(F22:F23),1),0)</f>
        <v>0</v>
      </c>
      <c r="G21" s="15" t="s">
        <v>142</v>
      </c>
      <c r="H21" s="70" t="s">
        <v>124</v>
      </c>
      <c r="I21" s="73" t="s">
        <v>164</v>
      </c>
      <c r="J21" s="58"/>
    </row>
    <row r="22" spans="1:10" ht="39" customHeight="1">
      <c r="A22" s="60" t="s">
        <v>139</v>
      </c>
      <c r="B22" s="15">
        <f>('00-基本資料表'!C3+'00-基本資料表'!C12+'00-基本資料表'!C35)/150</f>
        <v>0</v>
      </c>
      <c r="C22" s="15">
        <f>('00-基本資料表'!D3+'00-基本資料表'!D12+'00-基本資料表'!D35)/150</f>
        <v>0</v>
      </c>
      <c r="D22" s="15">
        <f>('00-基本資料表'!E3+'00-基本資料表'!E12+'00-基本資料表'!E35)/150</f>
        <v>0</v>
      </c>
      <c r="E22" s="15">
        <f>('00-基本資料表'!F3+'00-基本資料表'!F12+'00-基本資料表'!F35)/150</f>
        <v>0</v>
      </c>
      <c r="F22" s="15">
        <f>('00-基本資料表'!G3+'00-基本資料表'!G12+'00-基本資料表'!G35)/150</f>
        <v>0</v>
      </c>
      <c r="G22" s="15" t="s">
        <v>143</v>
      </c>
      <c r="H22" s="37" t="s">
        <v>124</v>
      </c>
      <c r="I22" s="57" t="s">
        <v>227</v>
      </c>
      <c r="J22" s="59"/>
    </row>
    <row r="23" spans="1:10" ht="31.5">
      <c r="A23" s="60" t="s">
        <v>140</v>
      </c>
      <c r="B23" s="15">
        <f>'00-基本資料表'!C38/150</f>
        <v>0</v>
      </c>
      <c r="C23" s="15">
        <f>'00-基本資料表'!D38/150</f>
        <v>0</v>
      </c>
      <c r="D23" s="15">
        <f>'00-基本資料表'!E38/150</f>
        <v>0</v>
      </c>
      <c r="E23" s="15">
        <f>'00-基本資料表'!F38/150</f>
        <v>0</v>
      </c>
      <c r="F23" s="15">
        <f>'00-基本資料表'!G38/150</f>
        <v>0</v>
      </c>
      <c r="G23" s="15" t="s">
        <v>157</v>
      </c>
      <c r="H23" s="37" t="s">
        <v>124</v>
      </c>
      <c r="I23" s="57" t="s">
        <v>237</v>
      </c>
      <c r="J23" s="59"/>
    </row>
    <row r="24" spans="1:10" ht="47.25">
      <c r="A24" s="79" t="s">
        <v>251</v>
      </c>
      <c r="B24" s="15">
        <f>ROUND(ROUNDDOWN(SUM(B25:B26),1),0)</f>
        <v>0</v>
      </c>
      <c r="C24" s="15">
        <f>ROUND(ROUNDDOWN(SUM(C25:C26),1),0)</f>
        <v>0</v>
      </c>
      <c r="D24" s="15">
        <f>ROUND(ROUNDDOWN(SUM(D25:D26),1),0)</f>
        <v>0</v>
      </c>
      <c r="E24" s="15">
        <f>ROUND(ROUNDDOWN(SUM(E25:E26),1),0)</f>
        <v>0</v>
      </c>
      <c r="F24" s="15">
        <f>ROUND(ROUNDDOWN(SUM(F25:F26),1),0)</f>
        <v>0</v>
      </c>
      <c r="G24" s="15" t="s">
        <v>158</v>
      </c>
      <c r="H24" s="71" t="s">
        <v>124</v>
      </c>
      <c r="I24" s="72" t="s">
        <v>163</v>
      </c>
      <c r="J24" s="58"/>
    </row>
    <row r="25" spans="1:10" ht="31.5">
      <c r="A25" s="60" t="s">
        <v>139</v>
      </c>
      <c r="B25" s="15">
        <f>('00-基本資料表'!C3+'00-基本資料表'!C12+'00-基本資料表'!C35)/150</f>
        <v>0</v>
      </c>
      <c r="C25" s="15">
        <f>('00-基本資料表'!D3+'00-基本資料表'!D12+'00-基本資料表'!D35)/150</f>
        <v>0</v>
      </c>
      <c r="D25" s="15">
        <f>('00-基本資料表'!E3+'00-基本資料表'!E12+'00-基本資料表'!E35)/150</f>
        <v>0</v>
      </c>
      <c r="E25" s="15">
        <f>('00-基本資料表'!F3+'00-基本資料表'!F12+'00-基本資料表'!F35)/150</f>
        <v>0</v>
      </c>
      <c r="F25" s="15">
        <f>('00-基本資料表'!G3+'00-基本資料表'!G12+'00-基本資料表'!G35)/150</f>
        <v>0</v>
      </c>
      <c r="G25" s="15" t="s">
        <v>159</v>
      </c>
      <c r="H25" s="37" t="s">
        <v>124</v>
      </c>
      <c r="I25" s="57" t="s">
        <v>227</v>
      </c>
      <c r="J25" s="58"/>
    </row>
    <row r="26" spans="1:9" ht="31.5">
      <c r="A26" s="60" t="s">
        <v>137</v>
      </c>
      <c r="B26" s="15">
        <f>'00-基本資料表'!C38/75</f>
        <v>0</v>
      </c>
      <c r="C26" s="15">
        <f>'00-基本資料表'!D38/75</f>
        <v>0</v>
      </c>
      <c r="D26" s="15">
        <f>'00-基本資料表'!E38/75</f>
        <v>0</v>
      </c>
      <c r="E26" s="15">
        <f>'00-基本資料表'!F38/75</f>
        <v>0</v>
      </c>
      <c r="F26" s="15">
        <f>'00-基本資料表'!G38/75</f>
        <v>0</v>
      </c>
      <c r="G26" s="15" t="s">
        <v>160</v>
      </c>
      <c r="H26" s="37" t="s">
        <v>124</v>
      </c>
      <c r="I26" s="57" t="s">
        <v>241</v>
      </c>
    </row>
  </sheetData>
  <sheetProtection password="FF3F" sheet="1" selectLockedCells="1"/>
  <mergeCells count="1">
    <mergeCell ref="H2:I2"/>
  </mergeCells>
  <printOptions/>
  <pageMargins left="0.5905511811023623" right="0.45" top="0.61" bottom="0.42" header="0.31496062992125984" footer="0.15"/>
  <pageSetup horizontalDpi="600" verticalDpi="600" orientation="landscape" paperSize="9" scale="85" r:id="rId1"/>
  <headerFooter>
    <oddFooter>&amp;R&amp;"微軟正黑體,標準"&amp;10第 &amp;P 頁，共 &amp;N 頁</oddFooter>
  </headerFooter>
  <rowBreaks count="1" manualBreakCount="1">
    <brk id="1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3"/>
  <sheetViews>
    <sheetView tabSelected="1" zoomScaleSheetLayoutView="90" zoomScalePageLayoutView="0" workbookViewId="0" topLeftCell="A25">
      <selection activeCell="C36" sqref="C36:D36"/>
    </sheetView>
  </sheetViews>
  <sheetFormatPr defaultColWidth="9.00390625" defaultRowHeight="20.25" customHeight="1"/>
  <cols>
    <col min="1" max="1" width="21.50390625" style="2" customWidth="1"/>
    <col min="2" max="2" width="22.50390625" style="3" customWidth="1"/>
    <col min="3" max="7" width="9.125" style="1" customWidth="1"/>
    <col min="8" max="8" width="7.375" style="1" customWidth="1"/>
    <col min="9" max="9" width="2.125" style="1" customWidth="1"/>
    <col min="10" max="10" width="78.75390625" style="1" customWidth="1"/>
    <col min="11" max="16384" width="9.00390625" style="1" customWidth="1"/>
  </cols>
  <sheetData>
    <row r="1" spans="1:10" ht="31.5">
      <c r="A1" s="194" t="s">
        <v>5</v>
      </c>
      <c r="B1" s="194"/>
      <c r="C1" s="78" t="s">
        <v>245</v>
      </c>
      <c r="D1" s="78" t="s">
        <v>246</v>
      </c>
      <c r="E1" s="78" t="s">
        <v>247</v>
      </c>
      <c r="F1" s="78" t="s">
        <v>248</v>
      </c>
      <c r="G1" s="82" t="s">
        <v>249</v>
      </c>
      <c r="H1" s="134" t="s">
        <v>261</v>
      </c>
      <c r="I1" s="186" t="s">
        <v>39</v>
      </c>
      <c r="J1" s="187"/>
    </row>
    <row r="2" spans="1:10" ht="22.5" customHeight="1">
      <c r="A2" s="24" t="s">
        <v>7</v>
      </c>
      <c r="B2" s="24" t="s">
        <v>21</v>
      </c>
      <c r="C2" s="19">
        <f>C3+C12+C21</f>
        <v>0</v>
      </c>
      <c r="D2" s="19">
        <f>D3+D12+D21</f>
        <v>0</v>
      </c>
      <c r="E2" s="19">
        <f>E3+E12+E21</f>
        <v>0</v>
      </c>
      <c r="F2" s="19">
        <f>F3+F12+F21</f>
        <v>0</v>
      </c>
      <c r="G2" s="95">
        <f>G3+G12+G21</f>
        <v>0</v>
      </c>
      <c r="H2" s="135" t="s">
        <v>40</v>
      </c>
      <c r="I2" s="136" t="s">
        <v>41</v>
      </c>
      <c r="J2" s="137" t="s">
        <v>97</v>
      </c>
    </row>
    <row r="3" spans="1:10" ht="22.5" customHeight="1">
      <c r="A3" s="195" t="s">
        <v>90</v>
      </c>
      <c r="B3" s="127" t="s">
        <v>21</v>
      </c>
      <c r="C3" s="31"/>
      <c r="D3" s="31"/>
      <c r="E3" s="31"/>
      <c r="F3" s="31"/>
      <c r="G3" s="96"/>
      <c r="H3" s="135" t="s">
        <v>42</v>
      </c>
      <c r="I3" s="192"/>
      <c r="J3" s="193"/>
    </row>
    <row r="4" spans="1:10" ht="22.5" customHeight="1">
      <c r="A4" s="196"/>
      <c r="B4" s="127" t="s">
        <v>13</v>
      </c>
      <c r="C4" s="74"/>
      <c r="D4" s="74"/>
      <c r="E4" s="74"/>
      <c r="F4" s="74"/>
      <c r="G4" s="97"/>
      <c r="H4" s="135" t="s">
        <v>43</v>
      </c>
      <c r="I4" s="188" t="s">
        <v>44</v>
      </c>
      <c r="J4" s="189"/>
    </row>
    <row r="5" spans="1:10" ht="22.5" customHeight="1">
      <c r="A5" s="199" t="s">
        <v>300</v>
      </c>
      <c r="B5" s="200"/>
      <c r="C5" s="33">
        <f>ROUND(ROUNDDOWN(C3*C4,1),0)</f>
        <v>0</v>
      </c>
      <c r="D5" s="33">
        <f>ROUND(ROUNDDOWN(D3*D4,1),0)</f>
        <v>0</v>
      </c>
      <c r="E5" s="33">
        <f>ROUND(ROUNDDOWN(E3*E4,1),0)</f>
        <v>0</v>
      </c>
      <c r="F5" s="33">
        <f>ROUND(ROUNDDOWN(F3*F4,1),0)</f>
        <v>0</v>
      </c>
      <c r="G5" s="98">
        <f>ROUND(ROUNDDOWN(G3*G4,1),0)</f>
        <v>0</v>
      </c>
      <c r="H5" s="135" t="s">
        <v>45</v>
      </c>
      <c r="I5" s="136" t="s">
        <v>41</v>
      </c>
      <c r="J5" s="137" t="s">
        <v>46</v>
      </c>
    </row>
    <row r="6" spans="1:10" ht="22.5" customHeight="1">
      <c r="A6" s="195" t="s">
        <v>31</v>
      </c>
      <c r="B6" s="127" t="s">
        <v>21</v>
      </c>
      <c r="C6" s="31"/>
      <c r="D6" s="31"/>
      <c r="E6" s="31"/>
      <c r="F6" s="31"/>
      <c r="G6" s="96"/>
      <c r="H6" s="135" t="s">
        <v>47</v>
      </c>
      <c r="I6" s="192"/>
      <c r="J6" s="193"/>
    </row>
    <row r="7" spans="1:10" ht="22.5" customHeight="1">
      <c r="A7" s="196"/>
      <c r="B7" s="127" t="s">
        <v>35</v>
      </c>
      <c r="C7" s="74"/>
      <c r="D7" s="74"/>
      <c r="E7" s="74"/>
      <c r="F7" s="74"/>
      <c r="G7" s="97"/>
      <c r="H7" s="135" t="s">
        <v>48</v>
      </c>
      <c r="I7" s="188" t="s">
        <v>81</v>
      </c>
      <c r="J7" s="189"/>
    </row>
    <row r="8" spans="1:10" ht="22.5" customHeight="1">
      <c r="A8" s="201" t="s">
        <v>36</v>
      </c>
      <c r="B8" s="201"/>
      <c r="C8" s="33">
        <f>ROUND(ROUNDDOWN(C6*C7,1),0)</f>
        <v>0</v>
      </c>
      <c r="D8" s="33">
        <f>ROUND(ROUNDDOWN(D6*D7,1),0)</f>
        <v>0</v>
      </c>
      <c r="E8" s="33">
        <f>ROUND(ROUNDDOWN(E6*E7,1),0)</f>
        <v>0</v>
      </c>
      <c r="F8" s="33">
        <f>ROUND(ROUNDDOWN(F6*F7,1),0)</f>
        <v>0</v>
      </c>
      <c r="G8" s="98">
        <f>ROUND(ROUNDDOWN(G6*G7,1),0)</f>
        <v>0</v>
      </c>
      <c r="H8" s="135" t="s">
        <v>49</v>
      </c>
      <c r="I8" s="136" t="s">
        <v>41</v>
      </c>
      <c r="J8" s="137" t="s">
        <v>50</v>
      </c>
    </row>
    <row r="9" spans="1:10" s="52" customFormat="1" ht="22.5" customHeight="1">
      <c r="A9" s="196" t="s">
        <v>82</v>
      </c>
      <c r="B9" s="128" t="s">
        <v>78</v>
      </c>
      <c r="C9" s="51">
        <f>C3-C6</f>
        <v>0</v>
      </c>
      <c r="D9" s="51">
        <f>D3-D6</f>
        <v>0</v>
      </c>
      <c r="E9" s="51">
        <f>E3-E6</f>
        <v>0</v>
      </c>
      <c r="F9" s="51">
        <f>F3-F6</f>
        <v>0</v>
      </c>
      <c r="G9" s="51">
        <f>G3-G6</f>
        <v>0</v>
      </c>
      <c r="H9" s="135" t="s">
        <v>51</v>
      </c>
      <c r="I9" s="136" t="s">
        <v>41</v>
      </c>
      <c r="J9" s="137" t="s">
        <v>80</v>
      </c>
    </row>
    <row r="10" spans="1:10" s="52" customFormat="1" ht="22.5" customHeight="1">
      <c r="A10" s="196"/>
      <c r="B10" s="128" t="s">
        <v>79</v>
      </c>
      <c r="C10" s="74"/>
      <c r="D10" s="74"/>
      <c r="E10" s="74"/>
      <c r="F10" s="74"/>
      <c r="G10" s="97"/>
      <c r="H10" s="135" t="s">
        <v>52</v>
      </c>
      <c r="I10" s="188" t="s">
        <v>44</v>
      </c>
      <c r="J10" s="189"/>
    </row>
    <row r="11" spans="1:10" ht="22.5" customHeight="1">
      <c r="A11" s="201" t="s">
        <v>15</v>
      </c>
      <c r="B11" s="201"/>
      <c r="C11" s="33">
        <f>ROUND(ROUNDDOWN(C9*C10,1),0)</f>
        <v>0</v>
      </c>
      <c r="D11" s="33">
        <f>ROUND(ROUNDDOWN(D9*D10,1),0)</f>
        <v>0</v>
      </c>
      <c r="E11" s="33">
        <f>ROUND(ROUNDDOWN(E9*E10,1),0)</f>
        <v>0</v>
      </c>
      <c r="F11" s="33">
        <f>ROUND(ROUNDDOWN(F9*F10,1),0)</f>
        <v>0</v>
      </c>
      <c r="G11" s="98">
        <f>ROUND(ROUNDDOWN(G9*G10,1),0)</f>
        <v>0</v>
      </c>
      <c r="H11" s="135" t="s">
        <v>53</v>
      </c>
      <c r="I11" s="136" t="s">
        <v>41</v>
      </c>
      <c r="J11" s="137" t="s">
        <v>54</v>
      </c>
    </row>
    <row r="12" spans="1:10" ht="22.5" customHeight="1">
      <c r="A12" s="197" t="s">
        <v>92</v>
      </c>
      <c r="B12" s="127" t="s">
        <v>21</v>
      </c>
      <c r="C12" s="31"/>
      <c r="D12" s="31"/>
      <c r="E12" s="31"/>
      <c r="F12" s="31"/>
      <c r="G12" s="96"/>
      <c r="H12" s="135" t="s">
        <v>55</v>
      </c>
      <c r="I12" s="190"/>
      <c r="J12" s="191"/>
    </row>
    <row r="13" spans="1:10" ht="22.5" customHeight="1">
      <c r="A13" s="198"/>
      <c r="B13" s="127" t="s">
        <v>13</v>
      </c>
      <c r="C13" s="32"/>
      <c r="D13" s="32"/>
      <c r="E13" s="32"/>
      <c r="F13" s="32"/>
      <c r="G13" s="99"/>
      <c r="H13" s="135" t="s">
        <v>56</v>
      </c>
      <c r="I13" s="188" t="s">
        <v>44</v>
      </c>
      <c r="J13" s="189"/>
    </row>
    <row r="14" spans="1:10" s="174" customFormat="1" ht="22.5" customHeight="1">
      <c r="A14" s="202" t="s">
        <v>301</v>
      </c>
      <c r="B14" s="201"/>
      <c r="C14" s="175">
        <f>ROUND(ROUNDDOWN(C12*C13,1),0)</f>
        <v>0</v>
      </c>
      <c r="D14" s="175">
        <f>ROUND(ROUNDDOWN(D12*D13,1),0)</f>
        <v>0</v>
      </c>
      <c r="E14" s="175">
        <f>ROUND(ROUNDDOWN(E12*E13,1),0)</f>
        <v>0</v>
      </c>
      <c r="F14" s="175">
        <f>ROUND(ROUNDDOWN(F12*F13,1),0)</f>
        <v>0</v>
      </c>
      <c r="G14" s="176">
        <f>ROUND(ROUNDDOWN(G12*G13,1),0)</f>
        <v>0</v>
      </c>
      <c r="H14" s="135" t="s">
        <v>57</v>
      </c>
      <c r="I14" s="138" t="s">
        <v>41</v>
      </c>
      <c r="J14" s="137" t="s">
        <v>91</v>
      </c>
    </row>
    <row r="15" spans="1:10" ht="22.5" customHeight="1">
      <c r="A15" s="197" t="s">
        <v>93</v>
      </c>
      <c r="B15" s="127" t="s">
        <v>21</v>
      </c>
      <c r="C15" s="31"/>
      <c r="D15" s="31"/>
      <c r="E15" s="31"/>
      <c r="F15" s="31"/>
      <c r="G15" s="96"/>
      <c r="H15" s="135" t="s">
        <v>58</v>
      </c>
      <c r="I15" s="192"/>
      <c r="J15" s="193"/>
    </row>
    <row r="16" spans="1:10" ht="22.5" customHeight="1">
      <c r="A16" s="198"/>
      <c r="B16" s="127" t="s">
        <v>13</v>
      </c>
      <c r="C16" s="74"/>
      <c r="D16" s="74"/>
      <c r="E16" s="74"/>
      <c r="F16" s="74"/>
      <c r="G16" s="97"/>
      <c r="H16" s="135" t="s">
        <v>59</v>
      </c>
      <c r="I16" s="188" t="s">
        <v>44</v>
      </c>
      <c r="J16" s="189"/>
    </row>
    <row r="17" spans="1:10" s="174" customFormat="1" ht="22.5" customHeight="1">
      <c r="A17" s="201" t="s">
        <v>15</v>
      </c>
      <c r="B17" s="201"/>
      <c r="C17" s="175">
        <f>ROUND(ROUNDDOWN(C15*C16,1),0)</f>
        <v>0</v>
      </c>
      <c r="D17" s="175">
        <f>ROUND(ROUNDDOWN(D15*D16,1),0)</f>
        <v>0</v>
      </c>
      <c r="E17" s="175">
        <f>ROUND(ROUNDDOWN(E15*E16,1),0)</f>
        <v>0</v>
      </c>
      <c r="F17" s="175">
        <f>ROUND(ROUNDDOWN(F15*F16,1),0)</f>
        <v>0</v>
      </c>
      <c r="G17" s="176">
        <f>ROUND(ROUNDDOWN(G15*G16,1),0)</f>
        <v>0</v>
      </c>
      <c r="H17" s="135" t="s">
        <v>60</v>
      </c>
      <c r="I17" s="138" t="s">
        <v>41</v>
      </c>
      <c r="J17" s="137" t="s">
        <v>95</v>
      </c>
    </row>
    <row r="18" spans="1:10" ht="22.5" customHeight="1">
      <c r="A18" s="197" t="s">
        <v>94</v>
      </c>
      <c r="B18" s="127" t="s">
        <v>21</v>
      </c>
      <c r="C18" s="54">
        <f>C12-C15</f>
        <v>0</v>
      </c>
      <c r="D18" s="54">
        <f>D12-D15</f>
        <v>0</v>
      </c>
      <c r="E18" s="54">
        <f>E12-E15</f>
        <v>0</v>
      </c>
      <c r="F18" s="54">
        <f>F12-F15</f>
        <v>0</v>
      </c>
      <c r="G18" s="54">
        <f>G12-G15</f>
        <v>0</v>
      </c>
      <c r="H18" s="135" t="s">
        <v>61</v>
      </c>
      <c r="I18" s="136" t="s">
        <v>41</v>
      </c>
      <c r="J18" s="137" t="s">
        <v>83</v>
      </c>
    </row>
    <row r="19" spans="1:10" s="52" customFormat="1" ht="22.5" customHeight="1">
      <c r="A19" s="198"/>
      <c r="B19" s="127" t="s">
        <v>13</v>
      </c>
      <c r="C19" s="74"/>
      <c r="D19" s="74"/>
      <c r="E19" s="74"/>
      <c r="F19" s="74"/>
      <c r="G19" s="97"/>
      <c r="H19" s="135" t="s">
        <v>62</v>
      </c>
      <c r="I19" s="188" t="s">
        <v>44</v>
      </c>
      <c r="J19" s="189"/>
    </row>
    <row r="20" spans="1:10" ht="22.5" customHeight="1">
      <c r="A20" s="200" t="s">
        <v>15</v>
      </c>
      <c r="B20" s="200"/>
      <c r="C20" s="33">
        <f>ROUND(ROUNDDOWN(C18*C19,1),0)</f>
        <v>0</v>
      </c>
      <c r="D20" s="33">
        <f>ROUND(ROUNDDOWN(D18*D19,1),0)</f>
        <v>0</v>
      </c>
      <c r="E20" s="33">
        <f>ROUND(ROUNDDOWN(E18*E19,1),0)</f>
        <v>0</v>
      </c>
      <c r="F20" s="33">
        <f>ROUND(ROUNDDOWN(F18*F19,1),0)</f>
        <v>0</v>
      </c>
      <c r="G20" s="98">
        <f>ROUND(ROUNDDOWN(G18*G19,1),0)</f>
        <v>0</v>
      </c>
      <c r="H20" s="135" t="s">
        <v>63</v>
      </c>
      <c r="I20" s="136" t="s">
        <v>41</v>
      </c>
      <c r="J20" s="137" t="s">
        <v>96</v>
      </c>
    </row>
    <row r="21" spans="1:10" ht="22.5" customHeight="1">
      <c r="A21" s="128" t="s">
        <v>0</v>
      </c>
      <c r="B21" s="127" t="s">
        <v>21</v>
      </c>
      <c r="C21" s="31"/>
      <c r="D21" s="31"/>
      <c r="E21" s="31"/>
      <c r="F21" s="31"/>
      <c r="G21" s="96"/>
      <c r="H21" s="135" t="s">
        <v>64</v>
      </c>
      <c r="I21" s="136"/>
      <c r="J21" s="137"/>
    </row>
    <row r="22" spans="1:10" ht="22.5" customHeight="1">
      <c r="A22" s="129" t="s">
        <v>325</v>
      </c>
      <c r="B22" s="127" t="s">
        <v>21</v>
      </c>
      <c r="C22" s="31"/>
      <c r="D22" s="31"/>
      <c r="E22" s="31"/>
      <c r="F22" s="31"/>
      <c r="G22" s="96"/>
      <c r="H22" s="122" t="s">
        <v>326</v>
      </c>
      <c r="I22" s="136"/>
      <c r="J22" s="137"/>
    </row>
    <row r="23" spans="1:10" s="55" customFormat="1" ht="22.5" customHeight="1">
      <c r="A23" s="196" t="s">
        <v>100</v>
      </c>
      <c r="B23" s="127" t="s">
        <v>14</v>
      </c>
      <c r="C23" s="31"/>
      <c r="D23" s="31"/>
      <c r="E23" s="31"/>
      <c r="F23" s="31"/>
      <c r="G23" s="96"/>
      <c r="H23" s="135" t="s">
        <v>65</v>
      </c>
      <c r="I23" s="136"/>
      <c r="J23" s="137"/>
    </row>
    <row r="24" spans="1:10" s="55" customFormat="1" ht="36.75" customHeight="1">
      <c r="A24" s="196"/>
      <c r="B24" s="127" t="s">
        <v>1</v>
      </c>
      <c r="C24" s="31"/>
      <c r="D24" s="31"/>
      <c r="E24" s="31"/>
      <c r="F24" s="31"/>
      <c r="G24" s="96"/>
      <c r="H24" s="135" t="s">
        <v>66</v>
      </c>
      <c r="I24" s="136"/>
      <c r="J24" s="137"/>
    </row>
    <row r="25" spans="1:10" s="55" customFormat="1" ht="31.5" customHeight="1">
      <c r="A25" s="196"/>
      <c r="B25" s="127" t="s">
        <v>98</v>
      </c>
      <c r="C25" s="31"/>
      <c r="D25" s="31"/>
      <c r="E25" s="31"/>
      <c r="F25" s="31"/>
      <c r="G25" s="96"/>
      <c r="H25" s="135" t="s">
        <v>67</v>
      </c>
      <c r="I25" s="136"/>
      <c r="J25" s="137"/>
    </row>
    <row r="26" spans="1:10" s="55" customFormat="1" ht="22.5" customHeight="1">
      <c r="A26" s="196" t="s">
        <v>101</v>
      </c>
      <c r="B26" s="127" t="s">
        <v>21</v>
      </c>
      <c r="C26" s="63"/>
      <c r="D26" s="63"/>
      <c r="E26" s="63"/>
      <c r="F26" s="63"/>
      <c r="G26" s="100"/>
      <c r="H26" s="135" t="s">
        <v>68</v>
      </c>
      <c r="I26" s="136"/>
      <c r="J26" s="137"/>
    </row>
    <row r="27" spans="1:10" s="55" customFormat="1" ht="39.75" customHeight="1">
      <c r="A27" s="196"/>
      <c r="B27" s="127" t="s">
        <v>10</v>
      </c>
      <c r="C27" s="63"/>
      <c r="D27" s="63"/>
      <c r="E27" s="63"/>
      <c r="F27" s="63"/>
      <c r="G27" s="100"/>
      <c r="H27" s="135" t="s">
        <v>69</v>
      </c>
      <c r="I27" s="136"/>
      <c r="J27" s="137"/>
    </row>
    <row r="28" spans="1:10" s="55" customFormat="1" ht="36.75" customHeight="1">
      <c r="A28" s="196"/>
      <c r="B28" s="127" t="s">
        <v>11</v>
      </c>
      <c r="C28" s="63"/>
      <c r="D28" s="63"/>
      <c r="E28" s="63"/>
      <c r="F28" s="63"/>
      <c r="G28" s="100"/>
      <c r="H28" s="135" t="s">
        <v>70</v>
      </c>
      <c r="I28" s="136"/>
      <c r="J28" s="137"/>
    </row>
    <row r="29" spans="1:10" ht="22.5" customHeight="1">
      <c r="A29" s="128" t="s">
        <v>9</v>
      </c>
      <c r="B29" s="127" t="s">
        <v>21</v>
      </c>
      <c r="C29" s="31"/>
      <c r="D29" s="31"/>
      <c r="E29" s="31"/>
      <c r="F29" s="31"/>
      <c r="G29" s="96"/>
      <c r="H29" s="135" t="s">
        <v>71</v>
      </c>
      <c r="I29" s="136"/>
      <c r="J29" s="137"/>
    </row>
    <row r="30" spans="1:10" ht="22.5" customHeight="1">
      <c r="A30" s="130" t="s">
        <v>2</v>
      </c>
      <c r="B30" s="131" t="s">
        <v>8</v>
      </c>
      <c r="C30" s="31"/>
      <c r="D30" s="31"/>
      <c r="E30" s="31"/>
      <c r="F30" s="31"/>
      <c r="G30" s="96"/>
      <c r="H30" s="135" t="s">
        <v>102</v>
      </c>
      <c r="I30" s="136"/>
      <c r="J30" s="137"/>
    </row>
    <row r="31" spans="1:10" s="55" customFormat="1" ht="22.5" customHeight="1">
      <c r="A31" s="196" t="s">
        <v>99</v>
      </c>
      <c r="B31" s="127" t="s">
        <v>21</v>
      </c>
      <c r="C31" s="31"/>
      <c r="D31" s="31"/>
      <c r="E31" s="31"/>
      <c r="F31" s="31"/>
      <c r="G31" s="96"/>
      <c r="H31" s="135" t="s">
        <v>103</v>
      </c>
      <c r="I31" s="136"/>
      <c r="J31" s="137"/>
    </row>
    <row r="32" spans="1:10" s="55" customFormat="1" ht="22.5" customHeight="1">
      <c r="A32" s="196"/>
      <c r="B32" s="132" t="s">
        <v>3</v>
      </c>
      <c r="C32" s="31"/>
      <c r="D32" s="31"/>
      <c r="E32" s="31"/>
      <c r="F32" s="31"/>
      <c r="G32" s="96"/>
      <c r="H32" s="135" t="s">
        <v>104</v>
      </c>
      <c r="I32" s="136"/>
      <c r="J32" s="137"/>
    </row>
    <row r="33" spans="1:10" s="55" customFormat="1" ht="36.75" customHeight="1">
      <c r="A33" s="196"/>
      <c r="B33" s="127" t="s">
        <v>4</v>
      </c>
      <c r="C33" s="31"/>
      <c r="D33" s="31"/>
      <c r="E33" s="31"/>
      <c r="F33" s="31"/>
      <c r="G33" s="96"/>
      <c r="H33" s="135" t="s">
        <v>105</v>
      </c>
      <c r="I33" s="136"/>
      <c r="J33" s="137"/>
    </row>
    <row r="34" spans="1:10" ht="22.5" customHeight="1">
      <c r="A34" s="128" t="s">
        <v>6</v>
      </c>
      <c r="B34" s="127" t="s">
        <v>21</v>
      </c>
      <c r="C34" s="31"/>
      <c r="D34" s="31"/>
      <c r="E34" s="31"/>
      <c r="F34" s="31"/>
      <c r="G34" s="96"/>
      <c r="H34" s="135" t="s">
        <v>106</v>
      </c>
      <c r="I34" s="136"/>
      <c r="J34" s="137"/>
    </row>
    <row r="35" spans="1:10" ht="24" customHeight="1">
      <c r="A35" s="204" t="s">
        <v>299</v>
      </c>
      <c r="B35" s="127" t="s">
        <v>21</v>
      </c>
      <c r="C35" s="31"/>
      <c r="D35" s="31"/>
      <c r="E35" s="31"/>
      <c r="F35" s="31"/>
      <c r="G35" s="96"/>
      <c r="H35" s="135" t="s">
        <v>107</v>
      </c>
      <c r="I35" s="136"/>
      <c r="J35" s="137"/>
    </row>
    <row r="36" spans="1:10" ht="24" customHeight="1">
      <c r="A36" s="205"/>
      <c r="B36" s="127" t="s">
        <v>13</v>
      </c>
      <c r="C36" s="32"/>
      <c r="D36" s="32"/>
      <c r="E36" s="32"/>
      <c r="F36" s="32"/>
      <c r="G36" s="99"/>
      <c r="H36" s="135" t="s">
        <v>229</v>
      </c>
      <c r="I36" s="136"/>
      <c r="J36" s="137"/>
    </row>
    <row r="37" spans="1:10" ht="24" customHeight="1">
      <c r="A37" s="202" t="s">
        <v>302</v>
      </c>
      <c r="B37" s="201"/>
      <c r="C37" s="182">
        <f>ROUND(ROUNDDOWN(C35*C36,1),0)</f>
        <v>0</v>
      </c>
      <c r="D37" s="182">
        <f>ROUND(ROUNDDOWN(D35*D36,1),0)</f>
        <v>0</v>
      </c>
      <c r="E37" s="182">
        <f>ROUND(ROUNDDOWN(E35*E36,1),0)</f>
        <v>0</v>
      </c>
      <c r="F37" s="182">
        <f>ROUND(ROUNDDOWN(F35*F36,1),0)</f>
        <v>0</v>
      </c>
      <c r="G37" s="183">
        <f>ROUND(ROUNDDOWN(G35*G36,1),0)</f>
        <v>0</v>
      </c>
      <c r="H37" s="135" t="s">
        <v>230</v>
      </c>
      <c r="I37" s="136"/>
      <c r="J37" s="137"/>
    </row>
    <row r="38" spans="1:10" ht="24" customHeight="1">
      <c r="A38" s="207" t="s">
        <v>116</v>
      </c>
      <c r="B38" s="133" t="s">
        <v>236</v>
      </c>
      <c r="C38" s="31"/>
      <c r="D38" s="31"/>
      <c r="E38" s="31"/>
      <c r="F38" s="31"/>
      <c r="G38" s="96"/>
      <c r="H38" s="135" t="s">
        <v>231</v>
      </c>
      <c r="I38" s="136"/>
      <c r="J38" s="137"/>
    </row>
    <row r="39" spans="1:10" ht="24" customHeight="1">
      <c r="A39" s="208"/>
      <c r="B39" s="133" t="s">
        <v>79</v>
      </c>
      <c r="C39" s="31"/>
      <c r="D39" s="31"/>
      <c r="E39" s="31"/>
      <c r="F39" s="31"/>
      <c r="G39" s="96"/>
      <c r="H39" s="122" t="s">
        <v>327</v>
      </c>
      <c r="I39" s="136"/>
      <c r="J39" s="137"/>
    </row>
    <row r="40" spans="1:10" ht="36.75" customHeight="1">
      <c r="A40" s="128" t="s">
        <v>12</v>
      </c>
      <c r="B40" s="127" t="s">
        <v>21</v>
      </c>
      <c r="C40" s="31"/>
      <c r="D40" s="31"/>
      <c r="E40" s="31"/>
      <c r="F40" s="31"/>
      <c r="G40" s="96"/>
      <c r="H40" s="135" t="s">
        <v>232</v>
      </c>
      <c r="I40" s="136"/>
      <c r="J40" s="137"/>
    </row>
    <row r="41" spans="1:10" ht="24" customHeight="1">
      <c r="A41" s="206" t="s">
        <v>242</v>
      </c>
      <c r="B41" s="206"/>
      <c r="C41" s="184"/>
      <c r="D41" s="184"/>
      <c r="E41" s="184"/>
      <c r="F41" s="184"/>
      <c r="G41" s="185"/>
      <c r="H41" s="135" t="s">
        <v>233</v>
      </c>
      <c r="I41" s="136"/>
      <c r="J41" s="137"/>
    </row>
    <row r="42" spans="1:10" ht="24" customHeight="1">
      <c r="A42" s="206" t="s">
        <v>243</v>
      </c>
      <c r="B42" s="206"/>
      <c r="C42" s="184"/>
      <c r="D42" s="184"/>
      <c r="E42" s="184"/>
      <c r="F42" s="184"/>
      <c r="G42" s="185"/>
      <c r="H42" s="135" t="s">
        <v>234</v>
      </c>
      <c r="I42" s="136"/>
      <c r="J42" s="137"/>
    </row>
    <row r="43" spans="1:10" ht="24" customHeight="1" thickBot="1">
      <c r="A43" s="203" t="s">
        <v>195</v>
      </c>
      <c r="B43" s="203"/>
      <c r="C43" s="180">
        <f>SUM(C41:C42)</f>
        <v>0</v>
      </c>
      <c r="D43" s="180">
        <f>SUM(D41:D42)</f>
        <v>0</v>
      </c>
      <c r="E43" s="180">
        <f>SUM(E41:E42)</f>
        <v>0</v>
      </c>
      <c r="F43" s="180">
        <f>SUM(F41:F42)</f>
        <v>0</v>
      </c>
      <c r="G43" s="181">
        <f>SUM(G41:G42)</f>
        <v>0</v>
      </c>
      <c r="H43" s="86" t="s">
        <v>235</v>
      </c>
      <c r="I43" s="38"/>
      <c r="J43" s="101"/>
    </row>
  </sheetData>
  <sheetProtection password="FF3F" sheet="1" selectLockedCells="1"/>
  <protectedRanges>
    <protectedRange sqref="C41:G42" name="範圍2"/>
    <protectedRange sqref="C38:G40 C21:G36 C15:G16 C12:G13 C6:G7 C3:G4 C9:G10 C18:G19" name="範圍1"/>
  </protectedRanges>
  <mergeCells count="33">
    <mergeCell ref="A17:B17"/>
    <mergeCell ref="A42:B42"/>
    <mergeCell ref="A41:B41"/>
    <mergeCell ref="A18:A19"/>
    <mergeCell ref="A20:B20"/>
    <mergeCell ref="I16:J16"/>
    <mergeCell ref="A38:A39"/>
    <mergeCell ref="I15:J15"/>
    <mergeCell ref="I19:J19"/>
    <mergeCell ref="A14:B14"/>
    <mergeCell ref="A43:B43"/>
    <mergeCell ref="A26:A28"/>
    <mergeCell ref="A23:A25"/>
    <mergeCell ref="A31:A33"/>
    <mergeCell ref="A15:A16"/>
    <mergeCell ref="A35:A36"/>
    <mergeCell ref="A37:B37"/>
    <mergeCell ref="A1:B1"/>
    <mergeCell ref="A3:A4"/>
    <mergeCell ref="A12:A13"/>
    <mergeCell ref="A5:B5"/>
    <mergeCell ref="A6:A7"/>
    <mergeCell ref="A8:B8"/>
    <mergeCell ref="A11:B11"/>
    <mergeCell ref="A9:A10"/>
    <mergeCell ref="I1:J1"/>
    <mergeCell ref="I4:J4"/>
    <mergeCell ref="I7:J7"/>
    <mergeCell ref="I13:J13"/>
    <mergeCell ref="I10:J10"/>
    <mergeCell ref="I12:J12"/>
    <mergeCell ref="I6:J6"/>
    <mergeCell ref="I3:J3"/>
  </mergeCells>
  <printOptions horizontalCentered="1"/>
  <pageMargins left="0.4724409448818898" right="0.15748031496062992" top="0.4330708661417323" bottom="0.2755905511811024" header="0.1968503937007874" footer="0.1968503937007874"/>
  <pageSetup fitToWidth="0" fitToHeight="1" horizontalDpi="600" verticalDpi="600" orientation="landscape" paperSize="8" scale="76" r:id="rId1"/>
  <headerFooter>
    <oddHeader>&amp;L&amp;"微軟正黑體,粗體"&amp;16基本資料表&amp;R&amp;"微軟正黑體,標準"&amp;11實地評鑑前月平均人力統計表(105.02)-
申請「區域醫院」評鑑者適用</oddHeader>
    <oddFooter>&amp;R&amp;"微軟正黑體,標準"&amp;10第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90" zoomScalePageLayoutView="0" workbookViewId="0" topLeftCell="A4">
      <selection activeCell="B9" sqref="B9"/>
    </sheetView>
  </sheetViews>
  <sheetFormatPr defaultColWidth="9.00390625" defaultRowHeight="20.25" customHeight="1"/>
  <cols>
    <col min="1" max="1" width="26.75390625" style="4" customWidth="1"/>
    <col min="2" max="6" width="8.50390625" style="4" customWidth="1"/>
    <col min="7" max="7" width="7.25390625" style="4" customWidth="1"/>
    <col min="8" max="8" width="2.125" style="4" customWidth="1"/>
    <col min="9" max="9" width="67.25390625" style="4" customWidth="1"/>
    <col min="10" max="16384" width="9.00390625" style="4" customWidth="1"/>
  </cols>
  <sheetData>
    <row r="1" ht="32.25" customHeight="1" thickBot="1">
      <c r="A1" s="11" t="s">
        <v>16</v>
      </c>
    </row>
    <row r="2" spans="1:9" s="10" customFormat="1" ht="36.75" customHeight="1">
      <c r="A2" s="41" t="s">
        <v>22</v>
      </c>
      <c r="B2" s="78" t="s">
        <v>245</v>
      </c>
      <c r="C2" s="78" t="s">
        <v>246</v>
      </c>
      <c r="D2" s="78" t="s">
        <v>247</v>
      </c>
      <c r="E2" s="78" t="s">
        <v>248</v>
      </c>
      <c r="F2" s="82" t="s">
        <v>249</v>
      </c>
      <c r="G2" s="41" t="s">
        <v>260</v>
      </c>
      <c r="H2" s="209" t="s">
        <v>39</v>
      </c>
      <c r="I2" s="210"/>
    </row>
    <row r="3" spans="1:9" ht="36.75" customHeight="1">
      <c r="A3" s="60" t="s">
        <v>145</v>
      </c>
      <c r="B3" s="8">
        <f>'00-基本資料表'!C3/20</f>
        <v>0</v>
      </c>
      <c r="C3" s="8">
        <f>'00-基本資料表'!D3/20</f>
        <v>0</v>
      </c>
      <c r="D3" s="8">
        <f>'00-基本資料表'!E3/20</f>
        <v>0</v>
      </c>
      <c r="E3" s="8">
        <f>'00-基本資料表'!F3/20</f>
        <v>0</v>
      </c>
      <c r="F3" s="67">
        <f>'00-基本資料表'!G3/20</f>
        <v>0</v>
      </c>
      <c r="G3" s="85" t="s">
        <v>182</v>
      </c>
      <c r="H3" s="37" t="s">
        <v>41</v>
      </c>
      <c r="I3" s="104" t="s">
        <v>263</v>
      </c>
    </row>
    <row r="4" spans="1:9" ht="36.75" customHeight="1">
      <c r="A4" s="60" t="s">
        <v>146</v>
      </c>
      <c r="B4" s="8">
        <f>'00-基本資料表'!C12/120</f>
        <v>0</v>
      </c>
      <c r="C4" s="8">
        <f>'00-基本資料表'!D12/120</f>
        <v>0</v>
      </c>
      <c r="D4" s="8">
        <f>'00-基本資料表'!E12/120</f>
        <v>0</v>
      </c>
      <c r="E4" s="8">
        <f>'00-基本資料表'!F12/120</f>
        <v>0</v>
      </c>
      <c r="F4" s="67">
        <f>'00-基本資料表'!G12/120</f>
        <v>0</v>
      </c>
      <c r="G4" s="85" t="s">
        <v>178</v>
      </c>
      <c r="H4" s="37" t="s">
        <v>41</v>
      </c>
      <c r="I4" s="104" t="s">
        <v>264</v>
      </c>
    </row>
    <row r="5" spans="1:9" ht="36.75" customHeight="1">
      <c r="A5" s="60" t="s">
        <v>148</v>
      </c>
      <c r="B5" s="8">
        <f>'00-基本資料表'!C38/150</f>
        <v>0</v>
      </c>
      <c r="C5" s="8">
        <f>'00-基本資料表'!D38/150</f>
        <v>0</v>
      </c>
      <c r="D5" s="8">
        <f>'00-基本資料表'!E38/150</f>
        <v>0</v>
      </c>
      <c r="E5" s="8">
        <f>'00-基本資料表'!F38/150</f>
        <v>0</v>
      </c>
      <c r="F5" s="67">
        <f>'00-基本資料表'!G38/150</f>
        <v>0</v>
      </c>
      <c r="G5" s="85" t="s">
        <v>180</v>
      </c>
      <c r="H5" s="37" t="s">
        <v>41</v>
      </c>
      <c r="I5" s="104" t="s">
        <v>266</v>
      </c>
    </row>
    <row r="6" spans="1:9" ht="36.75" customHeight="1">
      <c r="A6" s="117" t="s">
        <v>298</v>
      </c>
      <c r="B6" s="8">
        <f>'00-基本資料表'!C35/10</f>
        <v>0</v>
      </c>
      <c r="C6" s="8">
        <f>'00-基本資料表'!D35/10</f>
        <v>0</v>
      </c>
      <c r="D6" s="8">
        <f>'00-基本資料表'!E35/10</f>
        <v>0</v>
      </c>
      <c r="E6" s="8">
        <f>'00-基本資料表'!F35/10</f>
        <v>0</v>
      </c>
      <c r="F6" s="67">
        <f>'00-基本資料表'!G35/10</f>
        <v>0</v>
      </c>
      <c r="G6" s="85" t="s">
        <v>179</v>
      </c>
      <c r="H6" s="37" t="s">
        <v>41</v>
      </c>
      <c r="I6" s="104" t="s">
        <v>265</v>
      </c>
    </row>
    <row r="7" spans="1:9" ht="30.75" customHeight="1">
      <c r="A7" s="12" t="s">
        <v>17</v>
      </c>
      <c r="B7" s="13">
        <f>ROUND(ROUNDDOWN(SUM(B3:B6),1),0)</f>
        <v>0</v>
      </c>
      <c r="C7" s="13">
        <f>ROUND(ROUNDDOWN(SUM(C3:C6),1),0)</f>
        <v>0</v>
      </c>
      <c r="D7" s="13">
        <f>ROUND(ROUNDDOWN(SUM(D3:D6),1),0)</f>
        <v>0</v>
      </c>
      <c r="E7" s="13">
        <f>ROUND(ROUNDDOWN(SUM(E3:E6),1),0)</f>
        <v>0</v>
      </c>
      <c r="F7" s="84">
        <f>ROUND(ROUNDDOWN(SUM(F3:F6),1),0)</f>
        <v>0</v>
      </c>
      <c r="G7" s="90" t="s">
        <v>108</v>
      </c>
      <c r="H7" s="40" t="s">
        <v>41</v>
      </c>
      <c r="I7" s="66" t="s">
        <v>184</v>
      </c>
    </row>
    <row r="8" spans="1:9" ht="24" customHeight="1">
      <c r="A8" s="154" t="s">
        <v>19</v>
      </c>
      <c r="B8" s="75"/>
      <c r="C8" s="75"/>
      <c r="D8" s="75"/>
      <c r="E8" s="75"/>
      <c r="F8" s="87"/>
      <c r="G8" s="135" t="s">
        <v>109</v>
      </c>
      <c r="H8" s="136"/>
      <c r="I8" s="139"/>
    </row>
    <row r="9" spans="1:9" ht="75.75" customHeight="1">
      <c r="A9" s="155" t="s">
        <v>18</v>
      </c>
      <c r="B9" s="25"/>
      <c r="C9" s="25"/>
      <c r="D9" s="25"/>
      <c r="E9" s="25"/>
      <c r="F9" s="88"/>
      <c r="G9" s="135" t="s">
        <v>110</v>
      </c>
      <c r="H9" s="136"/>
      <c r="I9" s="139"/>
    </row>
    <row r="10" spans="1:9" ht="24" customHeight="1" thickBot="1">
      <c r="A10" s="6" t="s">
        <v>20</v>
      </c>
      <c r="B10" s="7">
        <f>B8+B9</f>
        <v>0</v>
      </c>
      <c r="C10" s="7">
        <f>C8+C9</f>
        <v>0</v>
      </c>
      <c r="D10" s="7">
        <f>D8+D9</f>
        <v>0</v>
      </c>
      <c r="E10" s="7">
        <f>E8+E9</f>
        <v>0</v>
      </c>
      <c r="F10" s="89">
        <f>F8+F9</f>
        <v>0</v>
      </c>
      <c r="G10" s="86" t="s">
        <v>181</v>
      </c>
      <c r="H10" s="38" t="s">
        <v>41</v>
      </c>
      <c r="I10" s="39" t="s">
        <v>185</v>
      </c>
    </row>
    <row r="11" spans="1:9" ht="24" customHeight="1">
      <c r="A11" s="153" t="s">
        <v>253</v>
      </c>
      <c r="B11" s="152"/>
      <c r="C11" s="152"/>
      <c r="D11" s="152"/>
      <c r="E11" s="152"/>
      <c r="F11" s="152"/>
      <c r="G11" s="152"/>
      <c r="H11" s="152"/>
      <c r="I11" s="152"/>
    </row>
  </sheetData>
  <sheetProtection password="FF3F" sheet="1" selectLockedCells="1"/>
  <protectedRanges>
    <protectedRange sqref="B8:F9" name="範圍1"/>
  </protectedRanges>
  <mergeCells count="1">
    <mergeCell ref="H2:I2"/>
  </mergeCells>
  <printOptions/>
  <pageMargins left="0.5905511811023623" right="0.31496062992125984" top="0.7480314960629921" bottom="0.7480314960629921" header="0.31496062992125984" footer="0.4724409448818898"/>
  <pageSetup horizontalDpi="600" verticalDpi="600" orientation="landscape" paperSize="9" scale="80" r:id="rId1"/>
  <headerFooter>
    <oddFooter>&amp;R&amp;"微軟正黑體,標準"&amp;10第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90" zoomScalePageLayoutView="90" workbookViewId="0" topLeftCell="A1">
      <selection activeCell="F9" sqref="F9"/>
    </sheetView>
  </sheetViews>
  <sheetFormatPr defaultColWidth="9.00390625" defaultRowHeight="20.25" customHeight="1"/>
  <cols>
    <col min="1" max="1" width="32.375" style="4" customWidth="1"/>
    <col min="2" max="6" width="10.125" style="4" customWidth="1"/>
    <col min="7" max="7" width="7.25390625" style="4" customWidth="1"/>
    <col min="8" max="8" width="2.125" style="4" customWidth="1"/>
    <col min="9" max="9" width="49.50390625" style="4" customWidth="1"/>
    <col min="10" max="16384" width="9.00390625" style="4" customWidth="1"/>
  </cols>
  <sheetData>
    <row r="1" ht="28.5" customHeight="1" thickBot="1">
      <c r="A1" s="11" t="s">
        <v>252</v>
      </c>
    </row>
    <row r="2" spans="1:9" s="10" customFormat="1" ht="33" customHeight="1">
      <c r="A2" s="41" t="s">
        <v>26</v>
      </c>
      <c r="B2" s="78" t="s">
        <v>245</v>
      </c>
      <c r="C2" s="78" t="s">
        <v>246</v>
      </c>
      <c r="D2" s="78" t="s">
        <v>247</v>
      </c>
      <c r="E2" s="78" t="s">
        <v>248</v>
      </c>
      <c r="F2" s="82" t="s">
        <v>249</v>
      </c>
      <c r="G2" s="102" t="s">
        <v>262</v>
      </c>
      <c r="H2" s="209" t="s">
        <v>39</v>
      </c>
      <c r="I2" s="211"/>
    </row>
    <row r="3" spans="1:9" ht="26.25" customHeight="1">
      <c r="A3" s="9" t="s">
        <v>170</v>
      </c>
      <c r="B3" s="8">
        <f>'00-基本資料表'!C3/3.5</f>
        <v>0</v>
      </c>
      <c r="C3" s="8">
        <f>'00-基本資料表'!D3/3.5</f>
        <v>0</v>
      </c>
      <c r="D3" s="8">
        <f>'00-基本資料表'!E3/3.5</f>
        <v>0</v>
      </c>
      <c r="E3" s="8">
        <f>'00-基本資料表'!F3/3.5</f>
        <v>0</v>
      </c>
      <c r="F3" s="67">
        <f>'00-基本資料表'!G3/3.5</f>
        <v>0</v>
      </c>
      <c r="G3" s="85" t="s">
        <v>172</v>
      </c>
      <c r="H3" s="106" t="s">
        <v>41</v>
      </c>
      <c r="I3" s="105" t="s">
        <v>267</v>
      </c>
    </row>
    <row r="4" spans="1:9" ht="26.25" customHeight="1">
      <c r="A4" s="9" t="s">
        <v>223</v>
      </c>
      <c r="B4" s="8">
        <f>'00-基本資料表'!C12/15</f>
        <v>0</v>
      </c>
      <c r="C4" s="8">
        <f>'00-基本資料表'!D12/15</f>
        <v>0</v>
      </c>
      <c r="D4" s="8">
        <f>'00-基本資料表'!E12/15</f>
        <v>0</v>
      </c>
      <c r="E4" s="8">
        <f>'00-基本資料表'!F12/15</f>
        <v>0</v>
      </c>
      <c r="F4" s="67">
        <f>'00-基本資料表'!G12/15</f>
        <v>0</v>
      </c>
      <c r="G4" s="85" t="s">
        <v>173</v>
      </c>
      <c r="H4" s="106" t="s">
        <v>41</v>
      </c>
      <c r="I4" s="105" t="s">
        <v>268</v>
      </c>
    </row>
    <row r="5" spans="1:9" ht="33.75" customHeight="1">
      <c r="A5" s="9" t="s">
        <v>171</v>
      </c>
      <c r="B5" s="8">
        <f>'00-基本資料表'!C38/20</f>
        <v>0</v>
      </c>
      <c r="C5" s="8">
        <f>'00-基本資料表'!D38/20</f>
        <v>0</v>
      </c>
      <c r="D5" s="8">
        <f>'00-基本資料表'!E38/20</f>
        <v>0</v>
      </c>
      <c r="E5" s="8">
        <f>'00-基本資料表'!F38/20</f>
        <v>0</v>
      </c>
      <c r="F5" s="67">
        <f>'00-基本資料表'!G38/20</f>
        <v>0</v>
      </c>
      <c r="G5" s="85" t="s">
        <v>175</v>
      </c>
      <c r="H5" s="106" t="s">
        <v>41</v>
      </c>
      <c r="I5" s="105" t="s">
        <v>270</v>
      </c>
    </row>
    <row r="6" spans="1:9" ht="27" customHeight="1">
      <c r="A6" s="116" t="s">
        <v>297</v>
      </c>
      <c r="B6" s="8">
        <f>'00-基本資料表'!C35/2</f>
        <v>0</v>
      </c>
      <c r="C6" s="8">
        <f>'00-基本資料表'!D35/2</f>
        <v>0</v>
      </c>
      <c r="D6" s="8">
        <f>'00-基本資料表'!E35/2</f>
        <v>0</v>
      </c>
      <c r="E6" s="8">
        <f>'00-基本資料表'!F35/2</f>
        <v>0</v>
      </c>
      <c r="F6" s="67">
        <f>'00-基本資料表'!G35/2</f>
        <v>0</v>
      </c>
      <c r="G6" s="85" t="s">
        <v>174</v>
      </c>
      <c r="H6" s="106" t="s">
        <v>41</v>
      </c>
      <c r="I6" s="105" t="s">
        <v>269</v>
      </c>
    </row>
    <row r="7" spans="1:9" ht="33" customHeight="1">
      <c r="A7" s="16" t="s">
        <v>28</v>
      </c>
      <c r="B7" s="17">
        <f>ROUND(ROUNDDOWN(SUM(B3:B6),1),0)</f>
        <v>0</v>
      </c>
      <c r="C7" s="17">
        <f>ROUND(ROUNDDOWN(SUM(C3:C6),1),0)</f>
        <v>0</v>
      </c>
      <c r="D7" s="17">
        <f>ROUND(ROUNDDOWN(SUM(D3:D6),1),0)</f>
        <v>0</v>
      </c>
      <c r="E7" s="17">
        <f>ROUND(ROUNDDOWN(SUM(E3:E6),1),0)</f>
        <v>0</v>
      </c>
      <c r="F7" s="83">
        <f>ROUND(ROUNDDOWN(SUM(F3:F6),1),0)</f>
        <v>0</v>
      </c>
      <c r="G7" s="85" t="s">
        <v>176</v>
      </c>
      <c r="H7" s="93" t="s">
        <v>41</v>
      </c>
      <c r="I7" s="104" t="s">
        <v>271</v>
      </c>
    </row>
    <row r="8" spans="1:9" ht="33" customHeight="1">
      <c r="A8" s="12" t="s">
        <v>23</v>
      </c>
      <c r="B8" s="13">
        <f>IF(B7&lt;'設置標準'!B$8,'設置標準'!B$8,'02-護理人力'!B7)</f>
        <v>0</v>
      </c>
      <c r="C8" s="13">
        <f>IF(C7&lt;'設置標準'!C$8,'設置標準'!C$8,'02-護理人力'!C7)</f>
        <v>0</v>
      </c>
      <c r="D8" s="13">
        <f>IF(D7&lt;'設置標準'!D$8,'設置標準'!D$8,'02-護理人力'!D7)</f>
        <v>0</v>
      </c>
      <c r="E8" s="13">
        <f>IF(E7&lt;'設置標準'!E$8,'設置標準'!E$8,'02-護理人力'!E7)</f>
        <v>0</v>
      </c>
      <c r="F8" s="13">
        <f>IF(F7&lt;'設置標準'!F$8,'設置標準'!F$8,'02-護理人力'!F7)</f>
        <v>0</v>
      </c>
      <c r="G8" s="85" t="s">
        <v>177</v>
      </c>
      <c r="H8" s="212" t="s">
        <v>272</v>
      </c>
      <c r="I8" s="213"/>
    </row>
    <row r="9" spans="1:9" ht="21.75" customHeight="1" thickBot="1">
      <c r="A9" s="156" t="s">
        <v>37</v>
      </c>
      <c r="B9" s="76"/>
      <c r="C9" s="76"/>
      <c r="D9" s="76"/>
      <c r="E9" s="76"/>
      <c r="F9" s="76"/>
      <c r="G9" s="157" t="s">
        <v>183</v>
      </c>
      <c r="H9" s="158"/>
      <c r="I9" s="148"/>
    </row>
    <row r="10" spans="1:9" ht="24" customHeight="1">
      <c r="A10" s="150" t="s">
        <v>254</v>
      </c>
      <c r="B10" s="151"/>
      <c r="C10" s="151"/>
      <c r="D10" s="151"/>
      <c r="E10" s="151"/>
      <c r="F10" s="151"/>
      <c r="G10" s="152"/>
      <c r="H10" s="152"/>
      <c r="I10" s="152"/>
    </row>
    <row r="11" ht="33.75" customHeight="1">
      <c r="A11" s="5"/>
    </row>
  </sheetData>
  <sheetProtection password="FF3F" sheet="1" selectLockedCells="1"/>
  <protectedRanges>
    <protectedRange sqref="B9:F9" name="範圍1"/>
  </protectedRanges>
  <mergeCells count="2">
    <mergeCell ref="H2:I2"/>
    <mergeCell ref="H8:I8"/>
  </mergeCells>
  <printOptions/>
  <pageMargins left="0.5118110236220472" right="0.31496062992125984" top="0.7086614173228347" bottom="0.4330708661417323" header="0.2362204724409449" footer="0.11811023622047245"/>
  <pageSetup horizontalDpi="600" verticalDpi="600" orientation="landscape" paperSize="9" scale="85" r:id="rId1"/>
  <headerFooter>
    <oddFooter>&amp;R&amp;"微軟正黑體,標準"&amp;10第 &amp;P 頁，共 &amp;N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="85" zoomScaleNormal="85" zoomScaleSheetLayoutView="90" zoomScalePageLayoutView="0" workbookViewId="0" topLeftCell="A1">
      <selection activeCell="C11" sqref="C11"/>
    </sheetView>
  </sheetViews>
  <sheetFormatPr defaultColWidth="9.00390625" defaultRowHeight="20.25" customHeight="1"/>
  <cols>
    <col min="1" max="1" width="34.375" style="4" customWidth="1"/>
    <col min="2" max="6" width="8.50390625" style="4" customWidth="1"/>
    <col min="7" max="7" width="7.25390625" style="4" customWidth="1"/>
    <col min="8" max="8" width="2.125" style="4" customWidth="1"/>
    <col min="9" max="9" width="54.875" style="4" customWidth="1"/>
    <col min="10" max="16384" width="9.00390625" style="4" customWidth="1"/>
  </cols>
  <sheetData>
    <row r="1" ht="24.75" customHeight="1" thickBot="1">
      <c r="A1" s="11" t="s">
        <v>168</v>
      </c>
    </row>
    <row r="2" spans="1:9" s="10" customFormat="1" ht="36.75" customHeight="1">
      <c r="A2" s="41" t="s">
        <v>26</v>
      </c>
      <c r="B2" s="114" t="s">
        <v>245</v>
      </c>
      <c r="C2" s="114" t="s">
        <v>246</v>
      </c>
      <c r="D2" s="114" t="s">
        <v>247</v>
      </c>
      <c r="E2" s="114" t="s">
        <v>248</v>
      </c>
      <c r="F2" s="115" t="s">
        <v>249</v>
      </c>
      <c r="G2" s="41" t="s">
        <v>260</v>
      </c>
      <c r="H2" s="209" t="s">
        <v>39</v>
      </c>
      <c r="I2" s="211"/>
    </row>
    <row r="3" spans="1:9" ht="31.5">
      <c r="A3" s="20" t="s">
        <v>186</v>
      </c>
      <c r="B3" s="8">
        <f>'00-基本資料表'!C9/50</f>
        <v>0</v>
      </c>
      <c r="C3" s="8">
        <f>'00-基本資料表'!D9/50</f>
        <v>0</v>
      </c>
      <c r="D3" s="8">
        <f>'00-基本資料表'!E9/50</f>
        <v>0</v>
      </c>
      <c r="E3" s="8">
        <f>'00-基本資料表'!F9/50</f>
        <v>0</v>
      </c>
      <c r="F3" s="67">
        <f>'00-基本資料表'!G9/50</f>
        <v>0</v>
      </c>
      <c r="G3" s="85" t="s">
        <v>188</v>
      </c>
      <c r="H3" s="106" t="s">
        <v>41</v>
      </c>
      <c r="I3" s="109" t="s">
        <v>273</v>
      </c>
    </row>
    <row r="4" spans="1:9" ht="31.5">
      <c r="A4" s="20" t="s">
        <v>187</v>
      </c>
      <c r="B4" s="8">
        <f>'00-基本資料表'!C6/40</f>
        <v>0</v>
      </c>
      <c r="C4" s="8">
        <f>'00-基本資料表'!D6/40</f>
        <v>0</v>
      </c>
      <c r="D4" s="8">
        <f>'00-基本資料表'!E6/40</f>
        <v>0</v>
      </c>
      <c r="E4" s="8">
        <f>'00-基本資料表'!F6/40</f>
        <v>0</v>
      </c>
      <c r="F4" s="67">
        <f>'00-基本資料表'!G6/40</f>
        <v>0</v>
      </c>
      <c r="G4" s="85" t="s">
        <v>72</v>
      </c>
      <c r="H4" s="106" t="s">
        <v>41</v>
      </c>
      <c r="I4" s="109" t="s">
        <v>274</v>
      </c>
    </row>
    <row r="5" spans="1:9" ht="31.5">
      <c r="A5" s="20" t="s">
        <v>122</v>
      </c>
      <c r="B5" s="8">
        <f>'00-基本資料表'!C12/200</f>
        <v>0</v>
      </c>
      <c r="C5" s="8">
        <f>'00-基本資料表'!D12/200</f>
        <v>0</v>
      </c>
      <c r="D5" s="8">
        <f>'00-基本資料表'!E12/200</f>
        <v>0</v>
      </c>
      <c r="E5" s="8">
        <f>'00-基本資料表'!F12/200</f>
        <v>0</v>
      </c>
      <c r="F5" s="67">
        <f>'00-基本資料表'!G12/200</f>
        <v>0</v>
      </c>
      <c r="G5" s="85" t="s">
        <v>192</v>
      </c>
      <c r="H5" s="106" t="s">
        <v>41</v>
      </c>
      <c r="I5" s="109" t="s">
        <v>275</v>
      </c>
    </row>
    <row r="6" spans="1:9" ht="31.5">
      <c r="A6" s="20" t="s">
        <v>129</v>
      </c>
      <c r="B6" s="8">
        <f>'00-基本資料表'!C38/200</f>
        <v>0</v>
      </c>
      <c r="C6" s="8">
        <f>'00-基本資料表'!D38/200</f>
        <v>0</v>
      </c>
      <c r="D6" s="8">
        <f>'00-基本資料表'!E38/200</f>
        <v>0</v>
      </c>
      <c r="E6" s="8">
        <f>'00-基本資料表'!F38/200</f>
        <v>0</v>
      </c>
      <c r="F6" s="67">
        <f>'00-基本資料表'!G38/200</f>
        <v>0</v>
      </c>
      <c r="G6" s="85" t="s">
        <v>191</v>
      </c>
      <c r="H6" s="106" t="s">
        <v>41</v>
      </c>
      <c r="I6" s="109" t="s">
        <v>277</v>
      </c>
    </row>
    <row r="7" spans="1:9" ht="24.75" customHeight="1">
      <c r="A7" s="116" t="s">
        <v>296</v>
      </c>
      <c r="B7" s="8">
        <f>'00-基本資料表'!C35/50</f>
        <v>0</v>
      </c>
      <c r="C7" s="8">
        <f>'00-基本資料表'!D35/50</f>
        <v>0</v>
      </c>
      <c r="D7" s="8">
        <f>'00-基本資料表'!E35/50</f>
        <v>0</v>
      </c>
      <c r="E7" s="8">
        <f>'00-基本資料表'!F35/50</f>
        <v>0</v>
      </c>
      <c r="F7" s="67">
        <f>'00-基本資料表'!G35/50</f>
        <v>0</v>
      </c>
      <c r="G7" s="85" t="s">
        <v>190</v>
      </c>
      <c r="H7" s="106" t="s">
        <v>41</v>
      </c>
      <c r="I7" s="109" t="s">
        <v>276</v>
      </c>
    </row>
    <row r="8" spans="1:9" ht="35.25" customHeight="1">
      <c r="A8" s="16" t="s">
        <v>189</v>
      </c>
      <c r="B8" s="17">
        <f>ROUNDDOWN('00-基本資料表'!C43/100,0)</f>
        <v>0</v>
      </c>
      <c r="C8" s="17">
        <f>ROUNDDOWN('00-基本資料表'!D43/100,0)</f>
        <v>0</v>
      </c>
      <c r="D8" s="17">
        <f>ROUNDDOWN('00-基本資料表'!E43/100,0)</f>
        <v>0</v>
      </c>
      <c r="E8" s="17">
        <f>ROUNDDOWN('00-基本資料表'!F43/100,0)</f>
        <v>0</v>
      </c>
      <c r="F8" s="83">
        <f>ROUNDDOWN('00-基本資料表'!G43/100,0)</f>
        <v>0</v>
      </c>
      <c r="G8" s="85" t="s">
        <v>193</v>
      </c>
      <c r="H8" s="106" t="s">
        <v>41</v>
      </c>
      <c r="I8" s="112" t="s">
        <v>278</v>
      </c>
    </row>
    <row r="9" spans="1:9" ht="33.75" customHeight="1">
      <c r="A9" s="16" t="s">
        <v>28</v>
      </c>
      <c r="B9" s="17">
        <f>ROUND(ROUNDDOWN(SUM(B3:B8),1),0)</f>
        <v>0</v>
      </c>
      <c r="C9" s="17">
        <f>ROUND(ROUNDDOWN(SUM(C3:C8),1),0)</f>
        <v>0</v>
      </c>
      <c r="D9" s="17">
        <f>ROUND(ROUNDDOWN(SUM(D3:D8),1),0)</f>
        <v>0</v>
      </c>
      <c r="E9" s="17">
        <f>ROUND(ROUNDDOWN(SUM(E3:E8),1),0)</f>
        <v>0</v>
      </c>
      <c r="F9" s="83">
        <f>ROUND(ROUNDDOWN(SUM(F3:F8),1),0)</f>
        <v>0</v>
      </c>
      <c r="G9" s="85" t="s">
        <v>194</v>
      </c>
      <c r="H9" s="106" t="s">
        <v>41</v>
      </c>
      <c r="I9" s="112" t="s">
        <v>279</v>
      </c>
    </row>
    <row r="10" spans="1:9" ht="24" customHeight="1">
      <c r="A10" s="12" t="s">
        <v>23</v>
      </c>
      <c r="B10" s="13">
        <f>IF(B9&lt;'設置標準'!B$13,'設置標準'!B$13,'03-藥事人力'!B9)</f>
        <v>0</v>
      </c>
      <c r="C10" s="13">
        <f>IF(C9&lt;'設置標準'!C$13,'設置標準'!C$13,'03-藥事人力'!C9)</f>
        <v>0</v>
      </c>
      <c r="D10" s="13">
        <f>IF(D9&lt;'設置標準'!D$13,'設置標準'!D$13,'03-藥事人力'!D9)</f>
        <v>0</v>
      </c>
      <c r="E10" s="13">
        <f>IF(E9&lt;'設置標準'!E$13,'設置標準'!E$13,'03-藥事人力'!E9)</f>
        <v>0</v>
      </c>
      <c r="F10" s="13">
        <f>IF(F9&lt;'設置標準'!F$13,'設置標準'!F$13,'03-藥事人力'!F9)</f>
        <v>0</v>
      </c>
      <c r="G10" s="103" t="s">
        <v>196</v>
      </c>
      <c r="H10" s="106" t="s">
        <v>280</v>
      </c>
      <c r="I10" s="111"/>
    </row>
    <row r="11" spans="1:9" ht="24" customHeight="1" thickBot="1">
      <c r="A11" s="177" t="s">
        <v>37</v>
      </c>
      <c r="B11" s="77"/>
      <c r="C11" s="77"/>
      <c r="D11" s="77"/>
      <c r="E11" s="77"/>
      <c r="F11" s="113"/>
      <c r="G11" s="140" t="s">
        <v>197</v>
      </c>
      <c r="H11" s="141"/>
      <c r="I11" s="142"/>
    </row>
    <row r="12" spans="1:9" s="30" customFormat="1" ht="24" customHeight="1">
      <c r="A12" s="150" t="s">
        <v>255</v>
      </c>
      <c r="B12" s="151"/>
      <c r="C12" s="151"/>
      <c r="D12" s="151"/>
      <c r="E12" s="151"/>
      <c r="F12" s="151"/>
      <c r="G12" s="152"/>
      <c r="H12" s="152"/>
      <c r="I12" s="152"/>
    </row>
    <row r="13" ht="33.75" customHeight="1">
      <c r="A13" s="5"/>
    </row>
  </sheetData>
  <sheetProtection password="FF3F" sheet="1" selectLockedCells="1"/>
  <protectedRanges>
    <protectedRange sqref="B11:F11" name="範圍1"/>
  </protectedRanges>
  <mergeCells count="1">
    <mergeCell ref="H2:I2"/>
  </mergeCells>
  <printOptions/>
  <pageMargins left="0.5905511811023623" right="0.31496062992125984" top="0.7874015748031497" bottom="0.7480314960629921" header="0.35433070866141736" footer="0.4330708661417323"/>
  <pageSetup horizontalDpi="600" verticalDpi="600" orientation="landscape" paperSize="9" scale="85" r:id="rId1"/>
  <headerFooter>
    <oddFooter>&amp;R&amp;"微軟正黑體,標準"&amp;10第 &amp;P 頁，共 &amp;N 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view="pageBreakPreview" zoomScale="90" zoomScaleSheetLayoutView="90" zoomScalePageLayoutView="0" workbookViewId="0" topLeftCell="A1">
      <selection activeCell="B5" sqref="B5"/>
    </sheetView>
  </sheetViews>
  <sheetFormatPr defaultColWidth="9.00390625" defaultRowHeight="20.25" customHeight="1"/>
  <cols>
    <col min="1" max="1" width="31.75390625" style="4" customWidth="1"/>
    <col min="2" max="6" width="8.50390625" style="4" customWidth="1"/>
    <col min="7" max="7" width="7.25390625" style="42" customWidth="1"/>
    <col min="8" max="8" width="2.125" style="42" customWidth="1"/>
    <col min="9" max="9" width="55.875" style="43" customWidth="1"/>
    <col min="10" max="16384" width="9.00390625" style="4" customWidth="1"/>
  </cols>
  <sheetData>
    <row r="1" ht="32.25" customHeight="1" thickBot="1">
      <c r="A1" s="11" t="s">
        <v>169</v>
      </c>
    </row>
    <row r="2" spans="1:9" s="10" customFormat="1" ht="36.75" customHeight="1">
      <c r="A2" s="41" t="s">
        <v>26</v>
      </c>
      <c r="B2" s="78" t="s">
        <v>245</v>
      </c>
      <c r="C2" s="78" t="s">
        <v>246</v>
      </c>
      <c r="D2" s="78" t="s">
        <v>247</v>
      </c>
      <c r="E2" s="78" t="s">
        <v>248</v>
      </c>
      <c r="F2" s="82" t="s">
        <v>249</v>
      </c>
      <c r="G2" s="41" t="s">
        <v>260</v>
      </c>
      <c r="H2" s="209" t="s">
        <v>39</v>
      </c>
      <c r="I2" s="211"/>
    </row>
    <row r="3" spans="1:9" ht="31.5">
      <c r="A3" s="9" t="s">
        <v>198</v>
      </c>
      <c r="B3" s="8">
        <f>IF('00-基本資料表'!C2/100&gt;=1,1,0)</f>
        <v>0</v>
      </c>
      <c r="C3" s="8">
        <f>IF('00-基本資料表'!D2/100&gt;=1,1,0)</f>
        <v>0</v>
      </c>
      <c r="D3" s="8">
        <f>IF('00-基本資料表'!E2/100&gt;=1,1,0)</f>
        <v>0</v>
      </c>
      <c r="E3" s="8">
        <f>IF('00-基本資料表'!F2/100&gt;=1,1,0)</f>
        <v>0</v>
      </c>
      <c r="F3" s="67">
        <f>IF('00-基本資料表'!G2/100&gt;=1,1,0)</f>
        <v>0</v>
      </c>
      <c r="G3" s="85" t="s">
        <v>201</v>
      </c>
      <c r="H3" s="107" t="s">
        <v>41</v>
      </c>
      <c r="I3" s="105" t="s">
        <v>281</v>
      </c>
    </row>
    <row r="4" spans="1:9" ht="24" customHeight="1">
      <c r="A4" s="12" t="s">
        <v>23</v>
      </c>
      <c r="B4" s="13">
        <f>IF(B3&lt;'設置標準'!B$17,'設置標準'!B$17,'04-營養與膳食單位人力'!B3)</f>
        <v>0</v>
      </c>
      <c r="C4" s="13">
        <f>IF(C3&lt;'設置標準'!C$17,'設置標準'!C$17,'04-營養與膳食單位人力'!C3)</f>
        <v>0</v>
      </c>
      <c r="D4" s="13">
        <f>IF(D3&lt;'設置標準'!D$17,'設置標準'!D$17,'04-營養與膳食單位人力'!D3)</f>
        <v>0</v>
      </c>
      <c r="E4" s="13">
        <f>IF(E3&lt;'設置標準'!E$17,'設置標準'!E$17,'04-營養與膳食單位人力'!E3)</f>
        <v>0</v>
      </c>
      <c r="F4" s="13">
        <f>IF(F3&lt;'設置標準'!F$17,'設置標準'!F$17,'04-營養與膳食單位人力'!F3)</f>
        <v>0</v>
      </c>
      <c r="G4" s="85" t="s">
        <v>202</v>
      </c>
      <c r="H4" s="94" t="s">
        <v>282</v>
      </c>
      <c r="I4" s="108"/>
    </row>
    <row r="5" spans="1:9" ht="39" customHeight="1" thickBot="1">
      <c r="A5" s="178" t="s">
        <v>24</v>
      </c>
      <c r="B5" s="77"/>
      <c r="C5" s="77"/>
      <c r="D5" s="77"/>
      <c r="E5" s="77"/>
      <c r="F5" s="179"/>
      <c r="G5" s="143" t="s">
        <v>203</v>
      </c>
      <c r="H5" s="144"/>
      <c r="I5" s="145" t="s">
        <v>244</v>
      </c>
    </row>
    <row r="6" spans="1:9" ht="24" customHeight="1">
      <c r="A6" s="150" t="s">
        <v>256</v>
      </c>
      <c r="B6" s="151"/>
      <c r="C6" s="151"/>
      <c r="D6" s="151"/>
      <c r="E6" s="151"/>
      <c r="F6" s="151"/>
      <c r="G6" s="159"/>
      <c r="H6" s="159"/>
      <c r="I6" s="160"/>
    </row>
  </sheetData>
  <sheetProtection password="FF3F" sheet="1" selectLockedCells="1"/>
  <protectedRanges>
    <protectedRange sqref="B5:F5" name="範圍1"/>
  </protectedRanges>
  <mergeCells count="1">
    <mergeCell ref="H2:I2"/>
  </mergeCells>
  <printOptions/>
  <pageMargins left="0.5905511811023623" right="0.31496062992125984" top="0.9055118110236221" bottom="0.7480314960629921" header="0.35433070866141736" footer="0.3937007874015748"/>
  <pageSetup horizontalDpi="600" verticalDpi="600" orientation="landscape" paperSize="9" scale="85" r:id="rId1"/>
  <headerFooter>
    <oddFooter>&amp;R&amp;"微軟正黑體,標準"&amp;10第 &amp;P 頁，共 &amp;N 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90" zoomScaleSheetLayoutView="90" zoomScalePageLayoutView="0" workbookViewId="0" topLeftCell="A1">
      <selection activeCell="B7" sqref="B7"/>
    </sheetView>
  </sheetViews>
  <sheetFormatPr defaultColWidth="9.00390625" defaultRowHeight="20.25" customHeight="1"/>
  <cols>
    <col min="1" max="1" width="30.00390625" style="4" customWidth="1"/>
    <col min="2" max="6" width="8.50390625" style="4" customWidth="1"/>
    <col min="7" max="7" width="7.25390625" style="4" customWidth="1"/>
    <col min="8" max="8" width="2.125" style="4" customWidth="1"/>
    <col min="9" max="9" width="59.25390625" style="4" customWidth="1"/>
    <col min="10" max="10" width="9.00390625" style="4" customWidth="1"/>
    <col min="11" max="11" width="9.00390625" style="36" customWidth="1"/>
    <col min="12" max="16384" width="9.00390625" style="4" customWidth="1"/>
  </cols>
  <sheetData>
    <row r="1" spans="1:11" ht="32.25" customHeight="1" thickBot="1">
      <c r="A1" s="11" t="s">
        <v>210</v>
      </c>
      <c r="K1" s="49"/>
    </row>
    <row r="2" spans="1:11" s="10" customFormat="1" ht="32.25" customHeight="1">
      <c r="A2" s="48" t="s">
        <v>26</v>
      </c>
      <c r="B2" s="78" t="s">
        <v>245</v>
      </c>
      <c r="C2" s="78" t="s">
        <v>246</v>
      </c>
      <c r="D2" s="78" t="s">
        <v>247</v>
      </c>
      <c r="E2" s="78" t="s">
        <v>248</v>
      </c>
      <c r="F2" s="82" t="s">
        <v>249</v>
      </c>
      <c r="G2" s="41" t="s">
        <v>260</v>
      </c>
      <c r="H2" s="209" t="s">
        <v>39</v>
      </c>
      <c r="I2" s="211"/>
      <c r="K2" s="50"/>
    </row>
    <row r="3" spans="1:9" ht="48" customHeight="1">
      <c r="A3" s="20" t="s">
        <v>295</v>
      </c>
      <c r="B3" s="21">
        <f>('00-基本資料表'!C5+'00-基本資料表'!C14+'00-基本資料表'!C37)/70</f>
        <v>0</v>
      </c>
      <c r="C3" s="21">
        <f>('00-基本資料表'!D5+'00-基本資料表'!D14+'00-基本資料表'!D37)/70</f>
        <v>0</v>
      </c>
      <c r="D3" s="21">
        <f>('00-基本資料表'!E5+'00-基本資料表'!E14+'00-基本資料表'!E37)/70</f>
        <v>0</v>
      </c>
      <c r="E3" s="21">
        <f>('00-基本資料表'!F5+'00-基本資料表'!F14+'00-基本資料表'!F37)/70</f>
        <v>0</v>
      </c>
      <c r="F3" s="21">
        <f>('00-基本資料表'!G5+'00-基本資料表'!G14+'00-基本資料表'!G37)/70</f>
        <v>0</v>
      </c>
      <c r="G3" s="85" t="s">
        <v>205</v>
      </c>
      <c r="H3" s="214" t="s">
        <v>283</v>
      </c>
      <c r="I3" s="215"/>
    </row>
    <row r="4" spans="1:9" ht="33.75" customHeight="1">
      <c r="A4" s="20" t="s">
        <v>204</v>
      </c>
      <c r="B4" s="21">
        <f>'00-基本資料表'!C38/70</f>
        <v>0</v>
      </c>
      <c r="C4" s="21">
        <f>'00-基本資料表'!D38/70</f>
        <v>0</v>
      </c>
      <c r="D4" s="21">
        <f>'00-基本資料表'!E38/70</f>
        <v>0</v>
      </c>
      <c r="E4" s="21">
        <f>'00-基本資料表'!F38/70</f>
        <v>0</v>
      </c>
      <c r="F4" s="91">
        <f>'00-基本資料表'!G38/70</f>
        <v>0</v>
      </c>
      <c r="G4" s="85" t="s">
        <v>206</v>
      </c>
      <c r="H4" s="107" t="s">
        <v>41</v>
      </c>
      <c r="I4" s="109" t="s">
        <v>284</v>
      </c>
    </row>
    <row r="5" spans="1:9" ht="31.5" customHeight="1">
      <c r="A5" s="20" t="s">
        <v>28</v>
      </c>
      <c r="B5" s="21">
        <f>ROUND(ROUNDDOWN(SUM(B3:B4),1),0)</f>
        <v>0</v>
      </c>
      <c r="C5" s="21">
        <f>ROUND(ROUNDDOWN(SUM(C3:C4),1),0)</f>
        <v>0</v>
      </c>
      <c r="D5" s="21">
        <f>ROUND(ROUNDDOWN(SUM(D3:D4),1),0)</f>
        <v>0</v>
      </c>
      <c r="E5" s="21">
        <f>ROUND(ROUNDDOWN(SUM(E3:E4),1),0)</f>
        <v>0</v>
      </c>
      <c r="F5" s="91">
        <f>ROUND(ROUNDDOWN(SUM(F3:F4),1),0)</f>
        <v>0</v>
      </c>
      <c r="G5" s="85" t="s">
        <v>207</v>
      </c>
      <c r="H5" s="110" t="s">
        <v>41</v>
      </c>
      <c r="I5" s="104" t="s">
        <v>285</v>
      </c>
    </row>
    <row r="6" spans="1:9" ht="31.5" customHeight="1">
      <c r="A6" s="22" t="s">
        <v>23</v>
      </c>
      <c r="B6" s="23">
        <f>IF(B5&lt;'設置標準'!B$18,'設置標準'!B$18,'05-職能治療人力'!B5)</f>
        <v>0</v>
      </c>
      <c r="C6" s="23">
        <f>IF(C5&lt;'設置標準'!C$18,'設置標準'!C$18,'05-職能治療人力'!C5)</f>
        <v>0</v>
      </c>
      <c r="D6" s="23">
        <f>IF(D5&lt;'設置標準'!D$18,'設置標準'!D$18,'05-職能治療人力'!D5)</f>
        <v>0</v>
      </c>
      <c r="E6" s="23">
        <f>IF(E5&lt;'設置標準'!E$18,'設置標準'!E$18,'05-職能治療人力'!E5)</f>
        <v>0</v>
      </c>
      <c r="F6" s="23">
        <f>IF(F5&lt;'設置標準'!F$18,'設置標準'!F$18,'05-職能治療人力'!F5)</f>
        <v>0</v>
      </c>
      <c r="G6" s="85" t="s">
        <v>73</v>
      </c>
      <c r="H6" s="216" t="s">
        <v>286</v>
      </c>
      <c r="I6" s="213"/>
    </row>
    <row r="7" spans="1:9" ht="27.75" customHeight="1" thickBot="1">
      <c r="A7" s="149" t="s">
        <v>38</v>
      </c>
      <c r="B7" s="26"/>
      <c r="C7" s="26"/>
      <c r="D7" s="26"/>
      <c r="E7" s="26"/>
      <c r="F7" s="92"/>
      <c r="G7" s="146" t="s">
        <v>208</v>
      </c>
      <c r="H7" s="147"/>
      <c r="I7" s="148"/>
    </row>
    <row r="8" spans="1:9" ht="24" customHeight="1">
      <c r="A8" s="150" t="s">
        <v>257</v>
      </c>
      <c r="B8" s="151"/>
      <c r="C8" s="151"/>
      <c r="D8" s="151"/>
      <c r="E8" s="151"/>
      <c r="F8" s="151"/>
      <c r="G8" s="152"/>
      <c r="H8" s="152"/>
      <c r="I8" s="152"/>
    </row>
    <row r="9" ht="33.75" customHeight="1">
      <c r="A9" s="5"/>
    </row>
  </sheetData>
  <sheetProtection password="FF3F" sheet="1" selectLockedCells="1"/>
  <protectedRanges>
    <protectedRange sqref="B7:F7" name="範圍1"/>
  </protectedRanges>
  <mergeCells count="3">
    <mergeCell ref="H2:I2"/>
    <mergeCell ref="H3:I3"/>
    <mergeCell ref="H6:I6"/>
  </mergeCells>
  <dataValidations count="1">
    <dataValidation type="list" allowBlank="1" showInputMessage="1" showErrorMessage="1" sqref="K1:K2">
      <formula1>YN</formula1>
    </dataValidation>
  </dataValidations>
  <printOptions/>
  <pageMargins left="0.5905511811023623" right="0.31496062992125984" top="0.6692913385826772" bottom="0.4330708661417323" header="0.2362204724409449" footer="0.11811023622047245"/>
  <pageSetup horizontalDpi="600" verticalDpi="600" orientation="landscape" paperSize="9" scale="85" r:id="rId1"/>
  <headerFooter>
    <oddFooter>&amp;R&amp;"微軟正黑體,標準"&amp;10第 &amp;P 頁，共 &amp;N 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view="pageBreakPreview" zoomScale="90" zoomScaleSheetLayoutView="90" zoomScalePageLayoutView="0" workbookViewId="0" topLeftCell="A1">
      <selection activeCell="E7" sqref="E7"/>
    </sheetView>
  </sheetViews>
  <sheetFormatPr defaultColWidth="9.00390625" defaultRowHeight="20.25" customHeight="1"/>
  <cols>
    <col min="1" max="1" width="40.375" style="4" customWidth="1"/>
    <col min="2" max="6" width="8.50390625" style="4" customWidth="1"/>
    <col min="7" max="7" width="7.25390625" style="4" customWidth="1"/>
    <col min="8" max="8" width="2.125" style="4" customWidth="1"/>
    <col min="9" max="9" width="43.875" style="4" customWidth="1"/>
    <col min="10" max="10" width="9.00390625" style="4" customWidth="1"/>
    <col min="11" max="11" width="9.00390625" style="36" customWidth="1"/>
    <col min="12" max="16384" width="9.00390625" style="4" customWidth="1"/>
  </cols>
  <sheetData>
    <row r="1" spans="1:11" ht="32.25" customHeight="1" thickBot="1">
      <c r="A1" s="11" t="s">
        <v>214</v>
      </c>
      <c r="K1" s="49"/>
    </row>
    <row r="2" spans="1:11" s="10" customFormat="1" ht="32.25" customHeight="1">
      <c r="A2" s="48" t="s">
        <v>26</v>
      </c>
      <c r="B2" s="78" t="s">
        <v>245</v>
      </c>
      <c r="C2" s="78" t="s">
        <v>246</v>
      </c>
      <c r="D2" s="78" t="s">
        <v>247</v>
      </c>
      <c r="E2" s="78" t="s">
        <v>248</v>
      </c>
      <c r="F2" s="82" t="s">
        <v>249</v>
      </c>
      <c r="G2" s="41" t="s">
        <v>260</v>
      </c>
      <c r="H2" s="209" t="s">
        <v>39</v>
      </c>
      <c r="I2" s="211"/>
      <c r="K2" s="49"/>
    </row>
    <row r="3" spans="1:9" ht="52.5" customHeight="1">
      <c r="A3" s="20" t="s">
        <v>294</v>
      </c>
      <c r="B3" s="21">
        <f>('00-基本資料表'!C5+'00-基本資料表'!C14+'00-基本資料表'!C37)/90</f>
        <v>0</v>
      </c>
      <c r="C3" s="21">
        <f>('00-基本資料表'!D5+'00-基本資料表'!D14+'00-基本資料表'!D37)/90</f>
        <v>0</v>
      </c>
      <c r="D3" s="21">
        <f>('00-基本資料表'!E5+'00-基本資料表'!E14+'00-基本資料表'!E37)/90</f>
        <v>0</v>
      </c>
      <c r="E3" s="21">
        <f>('00-基本資料表'!F5+'00-基本資料表'!F14+'00-基本資料表'!F37)/90</f>
        <v>0</v>
      </c>
      <c r="F3" s="21">
        <f>('00-基本資料表'!G5+'00-基本資料表'!G14+'00-基本資料表'!G37)/90</f>
        <v>0</v>
      </c>
      <c r="G3" s="85" t="s">
        <v>211</v>
      </c>
      <c r="H3" s="214" t="s">
        <v>287</v>
      </c>
      <c r="I3" s="215"/>
    </row>
    <row r="4" spans="1:9" ht="33.75" customHeight="1">
      <c r="A4" s="20" t="s">
        <v>209</v>
      </c>
      <c r="B4" s="21">
        <f>'00-基本資料表'!C38/115</f>
        <v>0</v>
      </c>
      <c r="C4" s="21">
        <f>'00-基本資料表'!D38/115</f>
        <v>0</v>
      </c>
      <c r="D4" s="21">
        <f>'00-基本資料表'!E38/115</f>
        <v>0</v>
      </c>
      <c r="E4" s="21">
        <f>'00-基本資料表'!F38/115</f>
        <v>0</v>
      </c>
      <c r="F4" s="91">
        <f>'00-基本資料表'!G38/115</f>
        <v>0</v>
      </c>
      <c r="G4" s="85" t="s">
        <v>199</v>
      </c>
      <c r="H4" s="107" t="s">
        <v>41</v>
      </c>
      <c r="I4" s="109" t="s">
        <v>288</v>
      </c>
    </row>
    <row r="5" spans="1:9" ht="39" customHeight="1">
      <c r="A5" s="20" t="s">
        <v>28</v>
      </c>
      <c r="B5" s="21">
        <f>ROUND(ROUNDDOWN(SUM(B3:B4),1),0)</f>
        <v>0</v>
      </c>
      <c r="C5" s="21">
        <f>ROUND(ROUNDDOWN(SUM(C3:C4),1),0)</f>
        <v>0</v>
      </c>
      <c r="D5" s="21">
        <f>ROUND(ROUNDDOWN(SUM(D3:D4),1),0)</f>
        <v>0</v>
      </c>
      <c r="E5" s="21">
        <f>ROUND(ROUNDDOWN(SUM(E3:E4),1),0)</f>
        <v>0</v>
      </c>
      <c r="F5" s="91">
        <f>ROUND(ROUNDDOWN(SUM(F3:F4),1),0)</f>
        <v>0</v>
      </c>
      <c r="G5" s="85" t="s">
        <v>200</v>
      </c>
      <c r="H5" s="107" t="s">
        <v>41</v>
      </c>
      <c r="I5" s="104" t="s">
        <v>289</v>
      </c>
    </row>
    <row r="6" spans="1:9" ht="39" customHeight="1">
      <c r="A6" s="22" t="s">
        <v>23</v>
      </c>
      <c r="B6" s="23">
        <f>IF(B5&lt;'設置標準'!B$21,'設置標準'!B$21,'06-臨床心理人力'!B5)</f>
        <v>0</v>
      </c>
      <c r="C6" s="23">
        <f>IF(C5&lt;'設置標準'!C$21,'設置標準'!C$21,'06-臨床心理人力'!C5)</f>
        <v>0</v>
      </c>
      <c r="D6" s="23">
        <f>IF(D5&lt;'設置標準'!D$21,'設置標準'!D$21,'06-臨床心理人力'!D5)</f>
        <v>0</v>
      </c>
      <c r="E6" s="23">
        <f>IF(E5&lt;'設置標準'!E$21,'設置標準'!E$21,'06-臨床心理人力'!E5)</f>
        <v>0</v>
      </c>
      <c r="F6" s="23">
        <f>IF(F5&lt;'設置標準'!F$21,'設置標準'!F$21,'06-臨床心理人力'!F5)</f>
        <v>0</v>
      </c>
      <c r="G6" s="85" t="s">
        <v>212</v>
      </c>
      <c r="H6" s="216" t="s">
        <v>290</v>
      </c>
      <c r="I6" s="213"/>
    </row>
    <row r="7" spans="1:9" ht="29.25" customHeight="1" thickBot="1">
      <c r="A7" s="149" t="s">
        <v>38</v>
      </c>
      <c r="B7" s="26"/>
      <c r="C7" s="26"/>
      <c r="D7" s="26"/>
      <c r="E7" s="26"/>
      <c r="F7" s="92"/>
      <c r="G7" s="146" t="s">
        <v>213</v>
      </c>
      <c r="H7" s="147"/>
      <c r="I7" s="148"/>
    </row>
    <row r="8" spans="1:9" ht="24" customHeight="1">
      <c r="A8" s="150" t="s">
        <v>258</v>
      </c>
      <c r="B8" s="151"/>
      <c r="C8" s="151"/>
      <c r="D8" s="151"/>
      <c r="E8" s="151"/>
      <c r="F8" s="151"/>
      <c r="G8" s="152"/>
      <c r="H8" s="152"/>
      <c r="I8" s="152"/>
    </row>
    <row r="9" ht="33.75" customHeight="1">
      <c r="A9" s="5"/>
    </row>
  </sheetData>
  <sheetProtection password="FF3F" sheet="1" selectLockedCells="1"/>
  <protectedRanges>
    <protectedRange sqref="B7:F7" name="範圍1"/>
  </protectedRanges>
  <mergeCells count="3">
    <mergeCell ref="H2:I2"/>
    <mergeCell ref="H3:I3"/>
    <mergeCell ref="H6:I6"/>
  </mergeCells>
  <printOptions/>
  <pageMargins left="0.5905511811023623" right="0.31496062992125984" top="0.6692913385826772" bottom="0.4330708661417323" header="0.2362204724409449" footer="0.11811023622047245"/>
  <pageSetup horizontalDpi="600" verticalDpi="600" orientation="landscape" paperSize="9" scale="85" r:id="rId1"/>
  <headerFooter>
    <oddFooter>&amp;R&amp;"微軟正黑體,標準"&amp;10第 &amp;P 頁，共 &amp;N 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90" zoomScalePageLayoutView="0" workbookViewId="0" topLeftCell="A1">
      <selection activeCell="E7" sqref="E7"/>
    </sheetView>
  </sheetViews>
  <sheetFormatPr defaultColWidth="9.00390625" defaultRowHeight="20.25" customHeight="1"/>
  <cols>
    <col min="1" max="1" width="33.875" style="4" customWidth="1"/>
    <col min="2" max="6" width="8.50390625" style="4" customWidth="1"/>
    <col min="7" max="7" width="7.25390625" style="4" customWidth="1"/>
    <col min="8" max="8" width="2.125" style="4" customWidth="1"/>
    <col min="9" max="9" width="50.125" style="4" customWidth="1"/>
    <col min="10" max="10" width="9.00390625" style="4" customWidth="1"/>
    <col min="11" max="11" width="9.00390625" style="36" customWidth="1"/>
    <col min="12" max="16384" width="9.00390625" style="4" customWidth="1"/>
  </cols>
  <sheetData>
    <row r="1" spans="1:11" ht="32.25" customHeight="1" thickBot="1">
      <c r="A1" s="11" t="s">
        <v>215</v>
      </c>
      <c r="K1" s="49" t="s">
        <v>29</v>
      </c>
    </row>
    <row r="2" spans="1:11" s="10" customFormat="1" ht="32.25" customHeight="1">
      <c r="A2" s="48" t="s">
        <v>26</v>
      </c>
      <c r="B2" s="114" t="s">
        <v>245</v>
      </c>
      <c r="C2" s="114" t="s">
        <v>246</v>
      </c>
      <c r="D2" s="114" t="s">
        <v>247</v>
      </c>
      <c r="E2" s="114" t="s">
        <v>248</v>
      </c>
      <c r="F2" s="115" t="s">
        <v>249</v>
      </c>
      <c r="G2" s="41" t="s">
        <v>260</v>
      </c>
      <c r="H2" s="209" t="s">
        <v>39</v>
      </c>
      <c r="I2" s="211"/>
      <c r="K2" s="50" t="s">
        <v>30</v>
      </c>
    </row>
    <row r="3" spans="1:9" ht="48" customHeight="1">
      <c r="A3" s="20" t="s">
        <v>294</v>
      </c>
      <c r="B3" s="21">
        <f>('00-基本資料表'!C5+'00-基本資料表'!C14+'00-基本資料表'!C37)/90</f>
        <v>0</v>
      </c>
      <c r="C3" s="21">
        <f>('00-基本資料表'!D5+'00-基本資料表'!D14+'00-基本資料表'!D37)/90</f>
        <v>0</v>
      </c>
      <c r="D3" s="21">
        <f>('00-基本資料表'!E5+'00-基本資料表'!E14+'00-基本資料表'!E37)/90</f>
        <v>0</v>
      </c>
      <c r="E3" s="21">
        <f>('00-基本資料表'!F5+'00-基本資料表'!F14+'00-基本資料表'!F37)/90</f>
        <v>0</v>
      </c>
      <c r="F3" s="91">
        <f>('00-基本資料表'!G5+'00-基本資料表'!G14+'00-基本資料表'!G37)/90</f>
        <v>0</v>
      </c>
      <c r="G3" s="85" t="s">
        <v>217</v>
      </c>
      <c r="H3" s="214" t="s">
        <v>287</v>
      </c>
      <c r="I3" s="215"/>
    </row>
    <row r="4" spans="1:9" ht="33.75" customHeight="1">
      <c r="A4" s="20" t="s">
        <v>216</v>
      </c>
      <c r="B4" s="21">
        <f>'00-基本資料表'!C38/75</f>
        <v>0</v>
      </c>
      <c r="C4" s="21">
        <f>'00-基本資料表'!D38/75</f>
        <v>0</v>
      </c>
      <c r="D4" s="21">
        <f>'00-基本資料表'!E38/75</f>
        <v>0</v>
      </c>
      <c r="E4" s="21">
        <f>'00-基本資料表'!F38/75</f>
        <v>0</v>
      </c>
      <c r="F4" s="91">
        <f>'00-基本資料表'!G38/75</f>
        <v>0</v>
      </c>
      <c r="G4" s="85" t="s">
        <v>218</v>
      </c>
      <c r="H4" s="107" t="s">
        <v>41</v>
      </c>
      <c r="I4" s="109" t="s">
        <v>291</v>
      </c>
    </row>
    <row r="5" spans="1:9" ht="35.25" customHeight="1">
      <c r="A5" s="20" t="s">
        <v>28</v>
      </c>
      <c r="B5" s="21">
        <f>ROUND(ROUNDDOWN(SUM(B3:B4),1),0)</f>
        <v>0</v>
      </c>
      <c r="C5" s="21">
        <f>ROUND(ROUNDDOWN(SUM(C3:C4),1),0)</f>
        <v>0</v>
      </c>
      <c r="D5" s="21">
        <f>ROUND(ROUNDDOWN(SUM(D3:D4),1),0)</f>
        <v>0</v>
      </c>
      <c r="E5" s="21">
        <f>ROUND(ROUNDDOWN(SUM(E3:E4),1),0)</f>
        <v>0</v>
      </c>
      <c r="F5" s="91">
        <f>ROUND(ROUNDDOWN(SUM(F3:F4),1),0)</f>
        <v>0</v>
      </c>
      <c r="G5" s="85" t="s">
        <v>219</v>
      </c>
      <c r="H5" s="167" t="s">
        <v>41</v>
      </c>
      <c r="I5" s="168" t="s">
        <v>292</v>
      </c>
    </row>
    <row r="6" spans="1:9" ht="19.5" customHeight="1">
      <c r="A6" s="22" t="s">
        <v>23</v>
      </c>
      <c r="B6" s="23">
        <f>IF(B5&lt;'設置標準'!B$24,'設置標準'!B$24,'07-社會工作人力'!B5)</f>
        <v>0</v>
      </c>
      <c r="C6" s="23">
        <f>IF(C5&lt;'設置標準'!C$24,'設置標準'!C$24,'07-社會工作人力'!C5)</f>
        <v>0</v>
      </c>
      <c r="D6" s="23">
        <f>IF(D5&lt;'設置標準'!D$24,'設置標準'!D$24,'07-社會工作人力'!D5)</f>
        <v>0</v>
      </c>
      <c r="E6" s="23">
        <f>IF(E5&lt;'設置標準'!E$24,'設置標準'!E$24,'07-社會工作人力'!E5)</f>
        <v>0</v>
      </c>
      <c r="F6" s="165">
        <f>IF(F5&lt;'設置標準'!F$24,'設置標準'!F$24,'07-社會工作人力'!F5)</f>
        <v>0</v>
      </c>
      <c r="G6" s="85" t="s">
        <v>220</v>
      </c>
      <c r="H6" s="217" t="s">
        <v>293</v>
      </c>
      <c r="I6" s="218"/>
    </row>
    <row r="7" spans="1:9" ht="27" customHeight="1" thickBot="1">
      <c r="A7" s="161" t="s">
        <v>38</v>
      </c>
      <c r="B7" s="162"/>
      <c r="C7" s="162"/>
      <c r="D7" s="162"/>
      <c r="E7" s="162"/>
      <c r="F7" s="166"/>
      <c r="G7" s="140" t="s">
        <v>221</v>
      </c>
      <c r="H7" s="163"/>
      <c r="I7" s="164"/>
    </row>
    <row r="8" spans="1:9" ht="24" customHeight="1">
      <c r="A8" s="150" t="s">
        <v>259</v>
      </c>
      <c r="B8" s="151"/>
      <c r="C8" s="151"/>
      <c r="D8" s="151"/>
      <c r="E8" s="151"/>
      <c r="F8" s="151"/>
      <c r="G8" s="152"/>
      <c r="H8" s="152"/>
      <c r="I8" s="152"/>
    </row>
    <row r="9" ht="33.75" customHeight="1">
      <c r="A9" s="5"/>
    </row>
  </sheetData>
  <sheetProtection password="FF3F" sheet="1" selectLockedCells="1"/>
  <protectedRanges>
    <protectedRange sqref="B7:F7" name="範圍1"/>
  </protectedRanges>
  <mergeCells count="3">
    <mergeCell ref="H2:I2"/>
    <mergeCell ref="H3:I3"/>
    <mergeCell ref="H6:I6"/>
  </mergeCells>
  <dataValidations count="1">
    <dataValidation type="list" allowBlank="1" showInputMessage="1" showErrorMessage="1" sqref="K1:K2">
      <formula1>YN</formula1>
    </dataValidation>
  </dataValidations>
  <printOptions/>
  <pageMargins left="0.5905511811023623" right="0.31496062992125984" top="0.6692913385826772" bottom="0.4330708661417323" header="0.2362204724409449" footer="0.11811023622047245"/>
  <pageSetup horizontalDpi="600" verticalDpi="600" orientation="landscape" paperSize="9" scale="85" r:id="rId1"/>
  <headerFooter>
    <oddFooter>&amp;R&amp;"微軟正黑體,標準"&amp;10第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2016-09-13T05:22:36Z</cp:lastPrinted>
  <dcterms:created xsi:type="dcterms:W3CDTF">2006-09-16T00:00:00Z</dcterms:created>
  <dcterms:modified xsi:type="dcterms:W3CDTF">2017-05-26T02:43:45Z</dcterms:modified>
  <cp:category/>
  <cp:version/>
  <cp:contentType/>
  <cp:contentStatus/>
</cp:coreProperties>
</file>